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96" windowHeight="1090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'Лист1'!$A$10:$I$82</definedName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<sst xmlns="http://schemas.openxmlformats.org/spreadsheetml/2006/main" count="236" uniqueCount="180">
  <si>
    <t>всего</t>
  </si>
  <si>
    <t>в том числе по годам</t>
  </si>
  <si>
    <t>2010 г.</t>
  </si>
  <si>
    <t>2011 г.</t>
  </si>
  <si>
    <t>2012 г.</t>
  </si>
  <si>
    <t>2013 г.</t>
  </si>
  <si>
    <t>1.</t>
  </si>
  <si>
    <t>Организационная работа в области энергосбережения и повышения энергетической эффективности</t>
  </si>
  <si>
    <t>Развитие самосознания у населения о необходимости рационального использования ресурсов.</t>
  </si>
  <si>
    <t>Организация пропаганды энергосбережения с средствах массовой информации</t>
  </si>
  <si>
    <t>х</t>
  </si>
  <si>
    <t>1.1.</t>
  </si>
  <si>
    <t>Сбор и анализ информации об энергопотреблении объектов жилищно-коммунального комплекса</t>
  </si>
  <si>
    <t>1.2.</t>
  </si>
  <si>
    <t>Проведение обучающих мероприятий, в области энергосбережения, для работников предприятий и бюджетной сферы</t>
  </si>
  <si>
    <t>1.3.</t>
  </si>
  <si>
    <t>Подготовка информационного материала о простейших технических решениях энергосбережения в быту, в средствах массовой информации</t>
  </si>
  <si>
    <t>2.</t>
  </si>
  <si>
    <t>Энергосбережение и повышение энергетической эффективности в бюджетной сфере.</t>
  </si>
  <si>
    <t xml:space="preserve">Средства городского бюджета </t>
  </si>
  <si>
    <t>Мероприятия изложены в подпрограмме «Энергосбережение в учреждениях бюджетной сферы муниципального образования «город Шарыпово Красноярского края» на 2010-2012г.г.»</t>
  </si>
  <si>
    <t>3.</t>
  </si>
  <si>
    <t>Энергосбережение и повышение энергетической эффективности в коммунальном комплексе</t>
  </si>
  <si>
    <t>Ликвидация сверхнормативного износа инженерных сетей, снижение потерь при транспортировке ресурса. Повышение экономической эффективности за счет внедрения энергосберегающих технологий</t>
  </si>
  <si>
    <t>3.1.</t>
  </si>
  <si>
    <t>Сети водоснабжения</t>
  </si>
  <si>
    <t>3.1.1.</t>
  </si>
  <si>
    <t>Модернизация сетей водоснабжения от КП14 до ВК61, 6 микрорайона</t>
  </si>
  <si>
    <t>Средства организаций</t>
  </si>
  <si>
    <t>Замена трубопровода 165,1 м.п.</t>
  </si>
  <si>
    <t>3.1.2.</t>
  </si>
  <si>
    <t>Модернизация сетей водоснабжения от ВК7 до ВК61, 6 микрорайона</t>
  </si>
  <si>
    <t>Замена трубопровода 258,01 м.п.</t>
  </si>
  <si>
    <t>3.1.3.</t>
  </si>
  <si>
    <t>Модернизация сетей водоснабжения от ВК18 до ВК27, Пионерного микрорайона</t>
  </si>
  <si>
    <t>Замена трубопровода 199,5 м.п.</t>
  </si>
  <si>
    <t>3.1.4.</t>
  </si>
  <si>
    <t>Модернизация сетей водоснабжения от ВК27 до ВК 22, Пионерного микрорайона</t>
  </si>
  <si>
    <t>Замена трубопровода 93,5 м.п.</t>
  </si>
  <si>
    <t>3.1.5.</t>
  </si>
  <si>
    <t>Модернизация сетей водоснабжения от ВК5 ул.Майской вдоль улицы Енисейской до ВК8 по улице Комсомольской п.Дубинино</t>
  </si>
  <si>
    <t>Замена трубопровода 660 м.п.</t>
  </si>
  <si>
    <t>3.1.6.</t>
  </si>
  <si>
    <t>Замена трубопровода  420 м.п.</t>
  </si>
  <si>
    <t>3.2.</t>
  </si>
  <si>
    <t>Тепловые сети</t>
  </si>
  <si>
    <t>3.2.1.</t>
  </si>
  <si>
    <t>Модернизация сетей теплоснабжения от ТК2 до ТК16, во 2 микрорайоне</t>
  </si>
  <si>
    <t>Замена трубопровода 122 м.п.</t>
  </si>
  <si>
    <t>3.2.2.</t>
  </si>
  <si>
    <t>Модернизация сетей теплоснабжения от ТК0706 до ТК0708, в Пионерном микрорайоне</t>
  </si>
  <si>
    <t>Замена трубопровода 300 м.п.</t>
  </si>
  <si>
    <t>3.2.3.</t>
  </si>
  <si>
    <t>Модернизация сетей теплоснабжения от ТК5 до ТК6, в 3 микрорайоне</t>
  </si>
  <si>
    <t>Замена трубопровода  248 м.п.</t>
  </si>
  <si>
    <t>3.2.4.</t>
  </si>
  <si>
    <t>Модернизация сетей теплоснабжения от ТК2 до ТК3, в 2 микрорайоне</t>
  </si>
  <si>
    <t>Замена трубопровода  125 м.п.</t>
  </si>
  <si>
    <t>3.2.5.</t>
  </si>
  <si>
    <t>Модернизация сетей теплоснабжения от ТК10 до ТК12, по улице Строительной</t>
  </si>
  <si>
    <t>Замена трубопровода  120 м.п.</t>
  </si>
  <si>
    <t>3.2.6.</t>
  </si>
  <si>
    <t xml:space="preserve">Ультразвуковая дефектоскопия стыков трубопроводов </t>
  </si>
  <si>
    <t>Исследовано 15 км.</t>
  </si>
  <si>
    <t>3.2.7.</t>
  </si>
  <si>
    <t>Модернизация сетей теплоснабжения от ТК51 до ТК46, в 3 микрорайоне</t>
  </si>
  <si>
    <t>Замена трубопровода  150 м.п.</t>
  </si>
  <si>
    <t>3.2.8.</t>
  </si>
  <si>
    <t>Модернизация сетей теплоснабжения от ТК14 до ТК51, в 3 микрорайоне</t>
  </si>
  <si>
    <t>Замена трубопровода  290 м.п.</t>
  </si>
  <si>
    <t>3.2.9.</t>
  </si>
  <si>
    <t>Модернизация магистрального трубопровода от ТК0126 до секционной задвижки №9</t>
  </si>
  <si>
    <t>Замена трубопровода  1379 м.п.</t>
  </si>
  <si>
    <t>Восстановление тепловой изоляции участков тепловых сетей №5ТС,8ТС,10ТС</t>
  </si>
  <si>
    <t>Восстановлено 18км.</t>
  </si>
  <si>
    <t>Модернизация сетей теплоснабжения на участке ТК0613 –ТК0616</t>
  </si>
  <si>
    <t>Замена трубопровода  400 м.п.</t>
  </si>
  <si>
    <t>Модернизация сетей теплоснабжения от ТК0710 до УТ1, в  микрорайоне Берлин</t>
  </si>
  <si>
    <t xml:space="preserve"> Замена трубопровода  140 м.п.</t>
  </si>
  <si>
    <t>Модернизация сетей теплоснабжения ТК1-86 п.Дубинино</t>
  </si>
  <si>
    <t>Замена трубопровода  780 м.п.</t>
  </si>
  <si>
    <t>Модернизация сетей теплоснабжения от ТК37 до ТК39, в 3 микрорайоне</t>
  </si>
  <si>
    <t>Замена трубопровода  297 м.п.</t>
  </si>
  <si>
    <t>Модернизация сетей теплоснабжения от УТ11 до УТ12, в  микрорайоне Берлин</t>
  </si>
  <si>
    <t>Замена трубопровода  60 м.п.</t>
  </si>
  <si>
    <t>Модернизация сетей теплоснабжения от ТК14 до ж.д.№31, в Северном микрорайоне</t>
  </si>
  <si>
    <t>Замена трубопровода  300 м.п.</t>
  </si>
  <si>
    <t>Модернизация сетей теплоснабжения от ТК26 до ТК45, в Пионерном микрорайоне</t>
  </si>
  <si>
    <t>3.3.</t>
  </si>
  <si>
    <t>Коммунальные объекты</t>
  </si>
  <si>
    <t>3.3.1.</t>
  </si>
  <si>
    <t>Замена насосных агрегатов КНС микрорайона Северный на энергосберегающие</t>
  </si>
  <si>
    <t>Заменено 2 насоса</t>
  </si>
  <si>
    <t>3.3.2.</t>
  </si>
  <si>
    <t>Автоматизация насосного оборудования КНС микрорайона Северный с установкой частотного преобразователя</t>
  </si>
  <si>
    <t>Автоматизация 1 насосного оборудования</t>
  </si>
  <si>
    <t>3.3.3.</t>
  </si>
  <si>
    <t>Модернизация водоразборных колонок микрорайона Шарыповский</t>
  </si>
  <si>
    <t>3.3.4.</t>
  </si>
  <si>
    <t xml:space="preserve">Установка энергоэкономичных светодиодных ламп </t>
  </si>
  <si>
    <t>Установлено 68 светодиодных ламп на КНС-5, КНС-6, КНС-7</t>
  </si>
  <si>
    <t>3.3.5.</t>
  </si>
  <si>
    <t>Установка энергоэкономичных светодиодных ламп на территории Дубининского водозабора</t>
  </si>
  <si>
    <t>Установлено 22 светодиодные лампы в п. Дубинино</t>
  </si>
  <si>
    <t>3.3.6.</t>
  </si>
  <si>
    <t xml:space="preserve">Замена светильников уличного освещения на энергосберегающие </t>
  </si>
  <si>
    <t>Средства городского бюджета</t>
  </si>
  <si>
    <t>3.3.7.</t>
  </si>
  <si>
    <t>Разработка схемы теплоснабжения</t>
  </si>
  <si>
    <t>4.</t>
  </si>
  <si>
    <t>Энергосбережение и повышение энергетической эффективности в жилищном фонде</t>
  </si>
  <si>
    <t>Снижение энергетических потерь в 2013г. по отношению к 2010г. составит 15%.</t>
  </si>
  <si>
    <t>4.1.</t>
  </si>
  <si>
    <t xml:space="preserve">Поэтапный переход на оплату потребления ресурсов тепло-, электро-, водоснабжения с учетом общедомовых приборов учета потребления ресурсов.       </t>
  </si>
  <si>
    <t>4.1.1.</t>
  </si>
  <si>
    <t>Установка общедомовых приборов учета в многоквартирных домах</t>
  </si>
  <si>
    <t xml:space="preserve">- тепловой энергии </t>
  </si>
  <si>
    <t>Средства собственников</t>
  </si>
  <si>
    <t>Установлено общедомовых приборов тепловой энергии 277шт.</t>
  </si>
  <si>
    <t xml:space="preserve">- холодной воды </t>
  </si>
  <si>
    <t>Установлено общедомовых приборов холодного водоснабжения 237 шт.</t>
  </si>
  <si>
    <t>- электроэнергии</t>
  </si>
  <si>
    <t>Установлено общедомовых приборов учета электроэнергии 88 шт.</t>
  </si>
  <si>
    <t>4.1.2.</t>
  </si>
  <si>
    <t>Установка индивидуальных приборов учета в многоквартирных домах</t>
  </si>
  <si>
    <t>- горячей воды</t>
  </si>
  <si>
    <t>Установлено приборов учета горячей воды 12467 шт.</t>
  </si>
  <si>
    <t>- холодной воды</t>
  </si>
  <si>
    <t>Установлено приборов учета холодной воды 12483 шт.</t>
  </si>
  <si>
    <t>Установлено приборов учета электроэнергии 9000 шт.</t>
  </si>
  <si>
    <t>4.2.</t>
  </si>
  <si>
    <t>Снижение энергоемкости объектов жилищного фонда</t>
  </si>
  <si>
    <t>4.2.1.</t>
  </si>
  <si>
    <t xml:space="preserve">Модернизация освещения в подъездах многоквартирных домов </t>
  </si>
  <si>
    <t>Замена на светильники ЭВС-03</t>
  </si>
  <si>
    <t>4.2.2.</t>
  </si>
  <si>
    <t xml:space="preserve">Модернизация внутриквартального освещения </t>
  </si>
  <si>
    <t>Замена освещения на лампы NAV-N4V, светильники ЖКУ</t>
  </si>
  <si>
    <t>4.2.3.</t>
  </si>
  <si>
    <t>Замена ламп накаливания на энергосберегающие лампы в шахтах лифтов</t>
  </si>
  <si>
    <t>Замена на энергосберегающие лампы Contec CEST 20/840</t>
  </si>
  <si>
    <t>4.2.4.</t>
  </si>
  <si>
    <t>Восстановление межпанельных швов</t>
  </si>
  <si>
    <t>68560,64 м.п.</t>
  </si>
  <si>
    <t>4.2.5.</t>
  </si>
  <si>
    <t>Утепление чердачных перекрытий</t>
  </si>
  <si>
    <t>160,4 м2</t>
  </si>
  <si>
    <t>4.2.6.</t>
  </si>
  <si>
    <t>Остекление оконных блоков</t>
  </si>
  <si>
    <t>515,33 м2</t>
  </si>
  <si>
    <t>4.2.7.</t>
  </si>
  <si>
    <t>Замена внутридомовых трубопроводов отопления</t>
  </si>
  <si>
    <t>1400 п.м</t>
  </si>
  <si>
    <t>4.2.8.</t>
  </si>
  <si>
    <t>Теплоизоляция внутридомовых систем отопления и ГВС</t>
  </si>
  <si>
    <t xml:space="preserve">5009,91 м </t>
  </si>
  <si>
    <t>ИТОГО:</t>
  </si>
  <si>
    <t xml:space="preserve">в том числе:   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</si>
  <si>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</si>
  <si>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</si>
  <si>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</si>
  <si>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</si>
  <si>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</si>
  <si>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</si>
  <si>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</si>
  <si>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</si>
  <si>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Ожидаемый  результат от реализованных программных  мероприятий, эффект.</t>
  </si>
  <si>
    <t xml:space="preserve">Объемы финансирования,  тыс.руб </t>
  </si>
  <si>
    <t>Программные мероприятия обеспечивающие задачи</t>
  </si>
  <si>
    <t>N п/п</t>
  </si>
  <si>
    <t>Мероприятия долгосрочной целевой программы "Энергосбережение и повышение энергетической эффективности в муниципальном образовании города Шарыпово Красноярского края на 2010-2013 годы"</t>
  </si>
  <si>
    <r>
      <t>Модернизация сетей водоснабжения от емкости 1000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районе улицы Сиреневой вдоль ул.Майской до ВК25 п.Дубинино</t>
    </r>
  </si>
  <si>
    <t>Приложение № 1 к Постановлению Администрации города Шарыпово</t>
  </si>
  <si>
    <t>Источники финансирования (краевой, федеральный бюджет, средства организаций и т.п.)</t>
  </si>
  <si>
    <t>Средства краевого, федерального бюджета</t>
  </si>
  <si>
    <t>Средства краевого,федерального бюджета</t>
  </si>
  <si>
    <t>3.3.8.</t>
  </si>
  <si>
    <t>Замена светильников уличного освещения на светодиодные светильники</t>
  </si>
  <si>
    <t xml:space="preserve">Замена 431 шт. светильников РКУ 250 с лампами ДРЛ 250 на светодиодные светильники </t>
  </si>
  <si>
    <t>от "15" августа 2013 г.  №177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</si>
</sst>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[$-FC19]d\ mmmm\ yyyy\ &quot;г.&quot;"/>
    <numFmt numFmtId="171" formatCode="#,##0.0000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71" fontId="5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1" fontId="1" fillId="0" borderId="14" xfId="0" applyNumberFormat="1" applyFont="1" applyFill="1" applyBorder="1" applyAlignment="1">
      <alignment horizontal="center" vertical="top" wrapText="1"/>
    </xf>
    <xf numFmtId="171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7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1" fontId="1" fillId="0" borderId="15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71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71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80" zoomScaleNormal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" sqref="G3"/>
    </sheetView>
  </sheetViews>
  <sheetFormatPr defaultColWidth="9.125" defaultRowHeight="12.75"/>
  <cols>
    <col min="1" max="1" width="6.00390625" style="5" customWidth="1"/>
    <col min="2" max="2" width="36.625" style="4" customWidth="1"/>
    <col min="3" max="3" width="20.00390625" style="4" customWidth="1"/>
    <col min="4" max="4" width="17.50390625" style="4" customWidth="1"/>
    <col min="5" max="8" width="17.875" style="4" customWidth="1"/>
    <col min="9" max="9" width="24.875" style="6" customWidth="1"/>
    <col min="10" max="16384" width="9.125" style="4" customWidth="1"/>
  </cols>
  <sheetData>
    <row r="1" spans="1:9" ht="12.75" customHeight="1">
      <c r="A1" s="3"/>
      <c r="B1" s="3"/>
      <c r="C1" s="3"/>
      <c r="D1" s="3"/>
      <c r="E1" s="3"/>
      <c r="F1" s="3"/>
      <c r="G1" s="53" t="s">
        <v>172</v>
      </c>
      <c r="H1" s="53"/>
      <c r="I1" s="53"/>
    </row>
    <row r="2" spans="2:9" ht="12.75" customHeight="1">
      <c r="B2" s="3"/>
      <c r="C2" s="3"/>
      <c r="D2" s="3"/>
      <c r="E2" s="3"/>
      <c r="F2" s="3"/>
      <c r="G2" s="53" t="s">
        <v>179</v>
      </c>
      <c r="H2" s="53"/>
      <c r="I2" s="53"/>
    </row>
    <row r="4" spans="2:9" ht="53.25" customHeight="1">
      <c r="B4" s="5"/>
      <c r="C4" s="62" t="s">
        <v>170</v>
      </c>
      <c r="D4" s="62"/>
      <c r="E4" s="62"/>
      <c r="F4" s="62"/>
      <c r="G4" s="62"/>
      <c r="H4" s="5"/>
      <c r="I4" s="5"/>
    </row>
    <row r="5" ht="13.5" thickBot="1"/>
    <row r="6" spans="1:9" ht="24.75" customHeight="1">
      <c r="A6" s="54" t="s">
        <v>169</v>
      </c>
      <c r="B6" s="38" t="s">
        <v>168</v>
      </c>
      <c r="C6" s="38" t="s">
        <v>173</v>
      </c>
      <c r="D6" s="45" t="s">
        <v>167</v>
      </c>
      <c r="E6" s="46"/>
      <c r="F6" s="46"/>
      <c r="G6" s="46"/>
      <c r="H6" s="47"/>
      <c r="I6" s="38" t="s">
        <v>166</v>
      </c>
    </row>
    <row r="7" spans="1:9" ht="12" customHeight="1" thickBot="1">
      <c r="A7" s="55"/>
      <c r="B7" s="39"/>
      <c r="C7" s="39"/>
      <c r="D7" s="48"/>
      <c r="E7" s="49"/>
      <c r="F7" s="49"/>
      <c r="G7" s="49"/>
      <c r="H7" s="50"/>
      <c r="I7" s="39"/>
    </row>
    <row r="8" spans="1:9" ht="12.75" customHeight="1" thickBot="1">
      <c r="A8" s="55"/>
      <c r="B8" s="39"/>
      <c r="C8" s="39"/>
      <c r="D8" s="38" t="s">
        <v>0</v>
      </c>
      <c r="E8" s="59" t="s">
        <v>1</v>
      </c>
      <c r="F8" s="60"/>
      <c r="G8" s="60"/>
      <c r="H8" s="61"/>
      <c r="I8" s="39"/>
    </row>
    <row r="9" spans="1:9" ht="20.25" customHeight="1" thickBot="1">
      <c r="A9" s="56"/>
      <c r="B9" s="40"/>
      <c r="C9" s="40"/>
      <c r="D9" s="40"/>
      <c r="E9" s="9" t="s">
        <v>2</v>
      </c>
      <c r="F9" s="9" t="s">
        <v>3</v>
      </c>
      <c r="G9" s="9" t="s">
        <v>4</v>
      </c>
      <c r="H9" s="9" t="s">
        <v>5</v>
      </c>
      <c r="I9" s="40"/>
    </row>
    <row r="10" spans="1:9" ht="78" customHeight="1" thickBot="1">
      <c r="A10" s="10" t="s">
        <v>6</v>
      </c>
      <c r="B10" s="11" t="s">
        <v>7</v>
      </c>
      <c r="C10" s="12"/>
      <c r="D10" s="2"/>
      <c r="E10" s="2"/>
      <c r="F10" s="2"/>
      <c r="G10" s="2"/>
      <c r="H10" s="2"/>
      <c r="I10" s="9" t="s">
        <v>8</v>
      </c>
    </row>
    <row r="11" spans="1:9" ht="27.75" customHeight="1" thickBot="1">
      <c r="A11" s="13"/>
      <c r="B11" s="14" t="s">
        <v>9</v>
      </c>
      <c r="C11" s="15"/>
      <c r="D11" s="2"/>
      <c r="E11" s="2" t="s">
        <v>10</v>
      </c>
      <c r="F11" s="2"/>
      <c r="G11" s="2"/>
      <c r="H11" s="2"/>
      <c r="I11" s="16"/>
    </row>
    <row r="12" spans="1:9" ht="39" customHeight="1" thickBot="1">
      <c r="A12" s="13" t="s">
        <v>11</v>
      </c>
      <c r="B12" s="14" t="s">
        <v>12</v>
      </c>
      <c r="C12" s="15"/>
      <c r="D12" s="2"/>
      <c r="E12" s="2" t="s">
        <v>10</v>
      </c>
      <c r="F12" s="2"/>
      <c r="G12" s="2"/>
      <c r="H12" s="2"/>
      <c r="I12" s="16"/>
    </row>
    <row r="13" spans="1:9" ht="40.5" customHeight="1" thickBot="1">
      <c r="A13" s="13" t="s">
        <v>13</v>
      </c>
      <c r="B13" s="14" t="s">
        <v>14</v>
      </c>
      <c r="C13" s="15"/>
      <c r="D13" s="2"/>
      <c r="E13" s="2" t="s">
        <v>10</v>
      </c>
      <c r="F13" s="2"/>
      <c r="G13" s="2"/>
      <c r="H13" s="2"/>
      <c r="I13" s="8"/>
    </row>
    <row r="14" spans="1:9" ht="51.75" customHeight="1" thickBot="1">
      <c r="A14" s="13" t="s">
        <v>15</v>
      </c>
      <c r="B14" s="14" t="s">
        <v>16</v>
      </c>
      <c r="C14" s="15"/>
      <c r="D14" s="2"/>
      <c r="E14" s="2" t="s">
        <v>10</v>
      </c>
      <c r="F14" s="2"/>
      <c r="G14" s="2"/>
      <c r="H14" s="2"/>
      <c r="I14" s="16"/>
    </row>
    <row r="15" spans="1:9" ht="49.5" customHeight="1" thickBot="1">
      <c r="A15" s="51" t="s">
        <v>17</v>
      </c>
      <c r="B15" s="57" t="s">
        <v>18</v>
      </c>
      <c r="C15" s="17" t="s">
        <v>19</v>
      </c>
      <c r="D15" s="1">
        <f>ROUND(SUM(E15:H15),5)</f>
        <v>1097.06859</v>
      </c>
      <c r="E15" s="1">
        <f>ROUND(669.337,5)</f>
        <v>669.337</v>
      </c>
      <c r="F15" s="1">
        <f>ROUND(10,5)</f>
        <v>10</v>
      </c>
      <c r="G15" s="1">
        <f>ROUND(171.93847,5)</f>
        <v>171.93847</v>
      </c>
      <c r="H15" s="1">
        <f>ROUND(245.79312,5)</f>
        <v>245.79312</v>
      </c>
      <c r="I15" s="38" t="s">
        <v>20</v>
      </c>
    </row>
    <row r="16" spans="1:9" ht="59.25" customHeight="1" thickBot="1">
      <c r="A16" s="52"/>
      <c r="B16" s="58"/>
      <c r="C16" s="17" t="s">
        <v>174</v>
      </c>
      <c r="D16" s="1">
        <f>ROUND(SUM(E16:H16),5)</f>
        <v>29398.1617</v>
      </c>
      <c r="E16" s="1"/>
      <c r="F16" s="1">
        <f>ROUND(1000,5)</f>
        <v>1000</v>
      </c>
      <c r="G16" s="1">
        <f>ROUND(976.2233,5)</f>
        <v>976.2233</v>
      </c>
      <c r="H16" s="1">
        <f>ROUND(27421.9384,5)</f>
        <v>27421.9384</v>
      </c>
      <c r="I16" s="40"/>
    </row>
    <row r="17" spans="1:9" s="20" customFormat="1" ht="137.25" customHeight="1" thickBot="1">
      <c r="A17" s="10" t="s">
        <v>21</v>
      </c>
      <c r="B17" s="11" t="s">
        <v>22</v>
      </c>
      <c r="C17" s="17"/>
      <c r="D17" s="1">
        <f>ROUND(D18+D25+D43,5)</f>
        <v>134714.3267</v>
      </c>
      <c r="E17" s="1"/>
      <c r="F17" s="1">
        <f>ROUND(36166.34,5)</f>
        <v>36166.34</v>
      </c>
      <c r="G17" s="1">
        <f>ROUND(G18+G25+G43,5)</f>
        <v>43797.20975</v>
      </c>
      <c r="H17" s="1">
        <f>ROUND(H18+H25+H43,5)</f>
        <v>54750.77695</v>
      </c>
      <c r="I17" s="9" t="s">
        <v>23</v>
      </c>
    </row>
    <row r="18" spans="1:9" ht="15.75" customHeight="1" thickBot="1">
      <c r="A18" s="13" t="s">
        <v>24</v>
      </c>
      <c r="B18" s="21" t="s">
        <v>25</v>
      </c>
      <c r="C18" s="15"/>
      <c r="D18" s="2">
        <f>ROUND(SUM(D19:D24),5)</f>
        <v>10379.06</v>
      </c>
      <c r="E18" s="2"/>
      <c r="F18" s="2">
        <f>ROUND(SUM(F19:F24),5)</f>
        <v>6197.83</v>
      </c>
      <c r="G18" s="2">
        <f>ROUND(SUM(G19:G24),5)</f>
        <v>4181.23</v>
      </c>
      <c r="H18" s="2"/>
      <c r="I18" s="9"/>
    </row>
    <row r="19" spans="1:9" s="22" customFormat="1" ht="27" thickBot="1">
      <c r="A19" s="13" t="s">
        <v>26</v>
      </c>
      <c r="B19" s="14" t="s">
        <v>27</v>
      </c>
      <c r="C19" s="17" t="s">
        <v>28</v>
      </c>
      <c r="D19" s="2">
        <f aca="true" t="shared" si="0" ref="D19:D24">ROUND(SUM(E19:H19),5)</f>
        <v>1556.4</v>
      </c>
      <c r="E19" s="2"/>
      <c r="F19" s="2">
        <f>ROUND(1556.4,5)</f>
        <v>1556.4</v>
      </c>
      <c r="G19" s="2"/>
      <c r="H19" s="2"/>
      <c r="I19" s="9" t="s">
        <v>29</v>
      </c>
    </row>
    <row r="20" spans="1:9" s="22" customFormat="1" ht="25.5" customHeight="1" thickBot="1">
      <c r="A20" s="23" t="s">
        <v>30</v>
      </c>
      <c r="B20" s="24" t="s">
        <v>31</v>
      </c>
      <c r="C20" s="25" t="s">
        <v>28</v>
      </c>
      <c r="D20" s="2">
        <f t="shared" si="0"/>
        <v>2949.6</v>
      </c>
      <c r="E20" s="18"/>
      <c r="F20" s="18">
        <f>ROUND(2949.6,5)</f>
        <v>2949.6</v>
      </c>
      <c r="G20" s="18"/>
      <c r="H20" s="18"/>
      <c r="I20" s="16" t="s">
        <v>32</v>
      </c>
    </row>
    <row r="21" spans="1:9" ht="27" thickBot="1">
      <c r="A21" s="13" t="s">
        <v>33</v>
      </c>
      <c r="B21" s="14" t="s">
        <v>34</v>
      </c>
      <c r="C21" s="17" t="s">
        <v>28</v>
      </c>
      <c r="D21" s="2">
        <f t="shared" si="0"/>
        <v>1642.7</v>
      </c>
      <c r="E21" s="2"/>
      <c r="F21" s="2"/>
      <c r="G21" s="2">
        <f>ROUND(1642.7,5)</f>
        <v>1642.7</v>
      </c>
      <c r="H21" s="2"/>
      <c r="I21" s="9" t="s">
        <v>35</v>
      </c>
    </row>
    <row r="22" spans="1:9" ht="27" thickBot="1">
      <c r="A22" s="13" t="s">
        <v>36</v>
      </c>
      <c r="B22" s="14" t="s">
        <v>37</v>
      </c>
      <c r="C22" s="17" t="s">
        <v>28</v>
      </c>
      <c r="D22" s="2">
        <f t="shared" si="0"/>
        <v>1464.02</v>
      </c>
      <c r="E22" s="2"/>
      <c r="F22" s="2"/>
      <c r="G22" s="2">
        <f>ROUND(1464.02,5)</f>
        <v>1464.02</v>
      </c>
      <c r="H22" s="2"/>
      <c r="I22" s="9" t="s">
        <v>38</v>
      </c>
    </row>
    <row r="23" spans="1:9" ht="39.75" thickBot="1">
      <c r="A23" s="13" t="s">
        <v>39</v>
      </c>
      <c r="B23" s="14" t="s">
        <v>40</v>
      </c>
      <c r="C23" s="17" t="s">
        <v>28</v>
      </c>
      <c r="D23" s="2">
        <f t="shared" si="0"/>
        <v>1691.83</v>
      </c>
      <c r="E23" s="2"/>
      <c r="F23" s="2">
        <f>ROUND(1691.83,5)</f>
        <v>1691.83</v>
      </c>
      <c r="G23" s="2"/>
      <c r="H23" s="2"/>
      <c r="I23" s="9" t="s">
        <v>41</v>
      </c>
    </row>
    <row r="24" spans="1:9" ht="42" thickBot="1">
      <c r="A24" s="13" t="s">
        <v>42</v>
      </c>
      <c r="B24" s="14" t="s">
        <v>171</v>
      </c>
      <c r="C24" s="17" t="s">
        <v>28</v>
      </c>
      <c r="D24" s="2">
        <f t="shared" si="0"/>
        <v>1074.51</v>
      </c>
      <c r="E24" s="2"/>
      <c r="F24" s="2"/>
      <c r="G24" s="2">
        <f>ROUND(1074.51,5)</f>
        <v>1074.51</v>
      </c>
      <c r="H24" s="2"/>
      <c r="I24" s="9" t="s">
        <v>43</v>
      </c>
    </row>
    <row r="25" spans="1:9" ht="13.5" thickBot="1">
      <c r="A25" s="13" t="s">
        <v>44</v>
      </c>
      <c r="B25" s="21" t="s">
        <v>45</v>
      </c>
      <c r="C25" s="17"/>
      <c r="D25" s="2">
        <f>ROUND(SUM(D26:D42),5)</f>
        <v>108685.4</v>
      </c>
      <c r="E25" s="2"/>
      <c r="F25" s="2">
        <f>ROUND(SUM(F26:F42),5)</f>
        <v>28551.2</v>
      </c>
      <c r="G25" s="2">
        <f>ROUND(SUM(G26:G42),5)</f>
        <v>36507.7</v>
      </c>
      <c r="H25" s="2">
        <f>ROUND(SUM(H26:H42),5)</f>
        <v>43626.5</v>
      </c>
      <c r="I25" s="9"/>
    </row>
    <row r="26" spans="1:9" ht="27" thickBot="1">
      <c r="A26" s="13" t="s">
        <v>46</v>
      </c>
      <c r="B26" s="14" t="s">
        <v>47</v>
      </c>
      <c r="C26" s="17" t="s">
        <v>28</v>
      </c>
      <c r="D26" s="2">
        <f>ROUND(SUM(E26:H26),5)</f>
        <v>2237.5</v>
      </c>
      <c r="E26" s="2"/>
      <c r="F26" s="2">
        <f>ROUND(2237.5,5)</f>
        <v>2237.5</v>
      </c>
      <c r="G26" s="2"/>
      <c r="H26" s="2"/>
      <c r="I26" s="9" t="s">
        <v>48</v>
      </c>
    </row>
    <row r="27" spans="1:9" ht="39.75" thickBot="1">
      <c r="A27" s="13" t="s">
        <v>49</v>
      </c>
      <c r="B27" s="14" t="s">
        <v>50</v>
      </c>
      <c r="C27" s="17" t="s">
        <v>28</v>
      </c>
      <c r="D27" s="2">
        <f aca="true" t="shared" si="1" ref="D27:D52">ROUND(SUM(E27:H27),5)</f>
        <v>3615.3</v>
      </c>
      <c r="E27" s="2"/>
      <c r="F27" s="2">
        <f>ROUND(3615.3,5)</f>
        <v>3615.3</v>
      </c>
      <c r="G27" s="2"/>
      <c r="H27" s="2"/>
      <c r="I27" s="9" t="s">
        <v>51</v>
      </c>
    </row>
    <row r="28" spans="1:9" ht="27" thickBot="1">
      <c r="A28" s="13" t="s">
        <v>52</v>
      </c>
      <c r="B28" s="14" t="s">
        <v>53</v>
      </c>
      <c r="C28" s="17" t="s">
        <v>28</v>
      </c>
      <c r="D28" s="2">
        <f t="shared" si="1"/>
        <v>3573.6</v>
      </c>
      <c r="E28" s="2"/>
      <c r="F28" s="2">
        <f>ROUND(3573.6,5)</f>
        <v>3573.6</v>
      </c>
      <c r="G28" s="2"/>
      <c r="H28" s="2"/>
      <c r="I28" s="9" t="s">
        <v>54</v>
      </c>
    </row>
    <row r="29" spans="1:9" ht="27" thickBot="1">
      <c r="A29" s="13" t="s">
        <v>55</v>
      </c>
      <c r="B29" s="14" t="s">
        <v>56</v>
      </c>
      <c r="C29" s="17" t="s">
        <v>28</v>
      </c>
      <c r="D29" s="2">
        <f t="shared" si="1"/>
        <v>2191.7</v>
      </c>
      <c r="E29" s="2"/>
      <c r="F29" s="2">
        <f>ROUND(2191.7,5)</f>
        <v>2191.7</v>
      </c>
      <c r="G29" s="2"/>
      <c r="H29" s="2"/>
      <c r="I29" s="9" t="s">
        <v>57</v>
      </c>
    </row>
    <row r="30" spans="1:9" ht="27" thickBot="1">
      <c r="A30" s="13" t="s">
        <v>58</v>
      </c>
      <c r="B30" s="14" t="s">
        <v>59</v>
      </c>
      <c r="C30" s="17" t="s">
        <v>28</v>
      </c>
      <c r="D30" s="2">
        <f t="shared" si="1"/>
        <v>1015.2</v>
      </c>
      <c r="E30" s="2"/>
      <c r="F30" s="2">
        <f>ROUND(1015.2,5)</f>
        <v>1015.2</v>
      </c>
      <c r="G30" s="2"/>
      <c r="H30" s="2"/>
      <c r="I30" s="9" t="s">
        <v>60</v>
      </c>
    </row>
    <row r="31" spans="1:9" ht="27" thickBot="1">
      <c r="A31" s="13" t="s">
        <v>61</v>
      </c>
      <c r="B31" s="14" t="s">
        <v>62</v>
      </c>
      <c r="C31" s="17" t="s">
        <v>28</v>
      </c>
      <c r="D31" s="2">
        <f t="shared" si="1"/>
        <v>1797.3</v>
      </c>
      <c r="E31" s="2"/>
      <c r="F31" s="2">
        <f>ROUND(599.1,5)</f>
        <v>599.1</v>
      </c>
      <c r="G31" s="2">
        <f>ROUND(599.1,5)</f>
        <v>599.1</v>
      </c>
      <c r="H31" s="2">
        <f>ROUND(599.1,5)</f>
        <v>599.1</v>
      </c>
      <c r="I31" s="9" t="s">
        <v>63</v>
      </c>
    </row>
    <row r="32" spans="1:9" ht="27" thickBot="1">
      <c r="A32" s="13" t="s">
        <v>64</v>
      </c>
      <c r="B32" s="14" t="s">
        <v>65</v>
      </c>
      <c r="C32" s="17" t="s">
        <v>28</v>
      </c>
      <c r="D32" s="2">
        <f t="shared" si="1"/>
        <v>1272.6</v>
      </c>
      <c r="E32" s="2"/>
      <c r="F32" s="2">
        <f>ROUND(1272.6,5)</f>
        <v>1272.6</v>
      </c>
      <c r="G32" s="2"/>
      <c r="H32" s="2"/>
      <c r="I32" s="9" t="s">
        <v>66</v>
      </c>
    </row>
    <row r="33" spans="1:9" ht="27" thickBot="1">
      <c r="A33" s="13" t="s">
        <v>67</v>
      </c>
      <c r="B33" s="14" t="s">
        <v>68</v>
      </c>
      <c r="C33" s="17" t="s">
        <v>28</v>
      </c>
      <c r="D33" s="2">
        <f t="shared" si="1"/>
        <v>3055.3</v>
      </c>
      <c r="E33" s="2"/>
      <c r="F33" s="2"/>
      <c r="G33" s="2">
        <f>ROUND(3055.3,5)</f>
        <v>3055.3</v>
      </c>
      <c r="H33" s="2"/>
      <c r="I33" s="9" t="s">
        <v>69</v>
      </c>
    </row>
    <row r="34" spans="1:9" ht="39.75" thickBot="1">
      <c r="A34" s="13" t="s">
        <v>70</v>
      </c>
      <c r="B34" s="14" t="s">
        <v>71</v>
      </c>
      <c r="C34" s="17" t="s">
        <v>28</v>
      </c>
      <c r="D34" s="2">
        <f t="shared" si="1"/>
        <v>25396.7</v>
      </c>
      <c r="E34" s="2"/>
      <c r="F34" s="2"/>
      <c r="G34" s="2">
        <f>ROUND(12698.4,5)</f>
        <v>12698.4</v>
      </c>
      <c r="H34" s="2">
        <f>ROUND(12698.3,5)</f>
        <v>12698.3</v>
      </c>
      <c r="I34" s="9" t="s">
        <v>72</v>
      </c>
    </row>
    <row r="35" spans="1:9" ht="27" thickBot="1">
      <c r="A35" s="13" t="s">
        <v>158</v>
      </c>
      <c r="B35" s="14" t="s">
        <v>73</v>
      </c>
      <c r="C35" s="17" t="s">
        <v>28</v>
      </c>
      <c r="D35" s="2">
        <f>ROUND(SUM(E35:H35),5)</f>
        <v>42138.6</v>
      </c>
      <c r="E35" s="2"/>
      <c r="F35" s="2">
        <f>ROUND(14046.2,5)</f>
        <v>14046.2</v>
      </c>
      <c r="G35" s="2">
        <f>ROUND(14046.2,5)</f>
        <v>14046.2</v>
      </c>
      <c r="H35" s="2">
        <f>ROUND(14046.2,5)</f>
        <v>14046.2</v>
      </c>
      <c r="I35" s="9" t="s">
        <v>74</v>
      </c>
    </row>
    <row r="36" spans="1:9" ht="24.75" customHeight="1" thickBot="1">
      <c r="A36" s="13" t="s">
        <v>159</v>
      </c>
      <c r="B36" s="26" t="s">
        <v>75</v>
      </c>
      <c r="C36" s="17" t="s">
        <v>28</v>
      </c>
      <c r="D36" s="2">
        <f t="shared" si="1"/>
        <v>4229.4</v>
      </c>
      <c r="E36" s="19"/>
      <c r="F36" s="19"/>
      <c r="G36" s="2">
        <f>ROUND(4229.4,5)</f>
        <v>4229.4</v>
      </c>
      <c r="H36" s="27"/>
      <c r="I36" s="7" t="s">
        <v>76</v>
      </c>
    </row>
    <row r="37" spans="1:9" ht="25.5" customHeight="1" thickBot="1">
      <c r="A37" s="13" t="s">
        <v>160</v>
      </c>
      <c r="B37" s="26" t="s">
        <v>77</v>
      </c>
      <c r="C37" s="28" t="s">
        <v>28</v>
      </c>
      <c r="D37" s="2">
        <f t="shared" si="1"/>
        <v>1879.3</v>
      </c>
      <c r="E37" s="19"/>
      <c r="F37" s="19"/>
      <c r="G37" s="2">
        <f>ROUND(1879.3,5)</f>
        <v>1879.3</v>
      </c>
      <c r="H37" s="18"/>
      <c r="I37" s="7" t="s">
        <v>78</v>
      </c>
    </row>
    <row r="38" spans="1:9" ht="26.25" customHeight="1" thickBot="1">
      <c r="A38" s="13" t="s">
        <v>161</v>
      </c>
      <c r="B38" s="26" t="s">
        <v>79</v>
      </c>
      <c r="C38" s="28" t="s">
        <v>28</v>
      </c>
      <c r="D38" s="2">
        <f t="shared" si="1"/>
        <v>9861.5</v>
      </c>
      <c r="E38" s="19"/>
      <c r="F38" s="19"/>
      <c r="G38" s="19"/>
      <c r="H38" s="2">
        <f>ROUND(9861.5,5)</f>
        <v>9861.5</v>
      </c>
      <c r="I38" s="7" t="s">
        <v>80</v>
      </c>
    </row>
    <row r="39" spans="1:9" ht="26.25" customHeight="1" thickBot="1">
      <c r="A39" s="23" t="s">
        <v>162</v>
      </c>
      <c r="B39" s="24" t="s">
        <v>81</v>
      </c>
      <c r="C39" s="25" t="s">
        <v>28</v>
      </c>
      <c r="D39" s="2">
        <f t="shared" si="1"/>
        <v>1184.5</v>
      </c>
      <c r="E39" s="18"/>
      <c r="F39" s="18"/>
      <c r="G39" s="18"/>
      <c r="H39" s="30">
        <f>ROUND(1184.5,5)</f>
        <v>1184.5</v>
      </c>
      <c r="I39" s="16" t="s">
        <v>82</v>
      </c>
    </row>
    <row r="40" spans="1:9" ht="26.25" customHeight="1" thickBot="1">
      <c r="A40" s="13" t="s">
        <v>163</v>
      </c>
      <c r="B40" s="26" t="s">
        <v>83</v>
      </c>
      <c r="C40" s="17" t="s">
        <v>28</v>
      </c>
      <c r="D40" s="2">
        <f t="shared" si="1"/>
        <v>681.9</v>
      </c>
      <c r="E40" s="19"/>
      <c r="F40" s="19"/>
      <c r="G40" s="19"/>
      <c r="H40" s="2">
        <f>ROUND(681.9,5)</f>
        <v>681.9</v>
      </c>
      <c r="I40" s="7" t="s">
        <v>84</v>
      </c>
    </row>
    <row r="41" spans="1:9" ht="24.75" customHeight="1" thickBot="1">
      <c r="A41" s="13" t="s">
        <v>164</v>
      </c>
      <c r="B41" s="26" t="s">
        <v>85</v>
      </c>
      <c r="C41" s="17" t="s">
        <v>28</v>
      </c>
      <c r="D41" s="2">
        <f t="shared" si="1"/>
        <v>1561.3</v>
      </c>
      <c r="E41" s="19"/>
      <c r="F41" s="19"/>
      <c r="G41" s="19"/>
      <c r="H41" s="2">
        <f>ROUND(1561.3,5)</f>
        <v>1561.3</v>
      </c>
      <c r="I41" s="7" t="s">
        <v>86</v>
      </c>
    </row>
    <row r="42" spans="1:9" ht="26.25" customHeight="1" thickBot="1">
      <c r="A42" s="13" t="s">
        <v>165</v>
      </c>
      <c r="B42" s="24" t="s">
        <v>87</v>
      </c>
      <c r="C42" s="29" t="s">
        <v>28</v>
      </c>
      <c r="D42" s="2">
        <f t="shared" si="1"/>
        <v>2993.7</v>
      </c>
      <c r="E42" s="18"/>
      <c r="F42" s="18"/>
      <c r="G42" s="18"/>
      <c r="H42" s="30">
        <f>ROUND(2993.7,5)</f>
        <v>2993.7</v>
      </c>
      <c r="I42" s="16" t="s">
        <v>76</v>
      </c>
    </row>
    <row r="43" spans="1:9" ht="13.5" thickBot="1">
      <c r="A43" s="13" t="s">
        <v>88</v>
      </c>
      <c r="B43" s="21" t="s">
        <v>89</v>
      </c>
      <c r="C43" s="17"/>
      <c r="D43" s="2">
        <f>ROUND(SUM(D44:D53),5)</f>
        <v>15649.8667</v>
      </c>
      <c r="E43" s="2"/>
      <c r="F43" s="2">
        <f>ROUND(SUM(F44:F53),5)</f>
        <v>1417.31</v>
      </c>
      <c r="G43" s="2">
        <f>ROUND(SUM(G44:G53),5)</f>
        <v>3108.27975</v>
      </c>
      <c r="H43" s="2">
        <f>ROUND(SUM(H44:H53),5)</f>
        <v>11124.27695</v>
      </c>
      <c r="I43" s="9"/>
    </row>
    <row r="44" spans="1:9" ht="39.75" thickBot="1">
      <c r="A44" s="13" t="s">
        <v>90</v>
      </c>
      <c r="B44" s="14" t="s">
        <v>91</v>
      </c>
      <c r="C44" s="17" t="s">
        <v>28</v>
      </c>
      <c r="D44" s="2">
        <f t="shared" si="1"/>
        <v>1285.61</v>
      </c>
      <c r="E44" s="2"/>
      <c r="F44" s="2">
        <f>ROUND(1285.61,5)</f>
        <v>1285.61</v>
      </c>
      <c r="G44" s="2"/>
      <c r="H44" s="2"/>
      <c r="I44" s="9" t="s">
        <v>92</v>
      </c>
    </row>
    <row r="45" spans="1:9" ht="39.75" thickBot="1">
      <c r="A45" s="13" t="s">
        <v>93</v>
      </c>
      <c r="B45" s="14" t="s">
        <v>94</v>
      </c>
      <c r="C45" s="17" t="s">
        <v>28</v>
      </c>
      <c r="D45" s="2">
        <f t="shared" si="1"/>
        <v>1664.91</v>
      </c>
      <c r="E45" s="2"/>
      <c r="F45" s="2"/>
      <c r="G45" s="2">
        <f>ROUND(1664.91,5)</f>
        <v>1664.91</v>
      </c>
      <c r="H45" s="2"/>
      <c r="I45" s="9" t="s">
        <v>95</v>
      </c>
    </row>
    <row r="46" spans="1:9" ht="27" thickBot="1">
      <c r="A46" s="13" t="s">
        <v>96</v>
      </c>
      <c r="B46" s="14" t="s">
        <v>97</v>
      </c>
      <c r="C46" s="17" t="s">
        <v>28</v>
      </c>
      <c r="D46" s="2">
        <f t="shared" si="1"/>
        <v>7.8</v>
      </c>
      <c r="E46" s="2"/>
      <c r="F46" s="2">
        <f>ROUND(7.8,5)</f>
        <v>7.8</v>
      </c>
      <c r="G46" s="2"/>
      <c r="H46" s="2"/>
      <c r="I46" s="9"/>
    </row>
    <row r="47" spans="1:9" ht="45.75" customHeight="1" thickBot="1">
      <c r="A47" s="13" t="s">
        <v>98</v>
      </c>
      <c r="B47" s="14" t="s">
        <v>99</v>
      </c>
      <c r="C47" s="17" t="s">
        <v>28</v>
      </c>
      <c r="D47" s="2">
        <f t="shared" si="1"/>
        <v>52.7</v>
      </c>
      <c r="E47" s="2"/>
      <c r="F47" s="2">
        <f>ROUND(52.7,5)</f>
        <v>52.7</v>
      </c>
      <c r="G47" s="2"/>
      <c r="H47" s="2"/>
      <c r="I47" s="9" t="s">
        <v>100</v>
      </c>
    </row>
    <row r="48" spans="1:9" ht="39.75" thickBot="1">
      <c r="A48" s="13" t="s">
        <v>101</v>
      </c>
      <c r="B48" s="14" t="s">
        <v>102</v>
      </c>
      <c r="C48" s="17" t="s">
        <v>28</v>
      </c>
      <c r="D48" s="2">
        <f t="shared" si="1"/>
        <v>71.2</v>
      </c>
      <c r="E48" s="2"/>
      <c r="F48" s="2">
        <f>ROUND(71.2,5)</f>
        <v>71.2</v>
      </c>
      <c r="G48" s="2"/>
      <c r="H48" s="2"/>
      <c r="I48" s="9" t="s">
        <v>103</v>
      </c>
    </row>
    <row r="49" spans="1:9" ht="27" thickBot="1">
      <c r="A49" s="13" t="s">
        <v>104</v>
      </c>
      <c r="B49" s="14" t="s">
        <v>105</v>
      </c>
      <c r="C49" s="17" t="s">
        <v>106</v>
      </c>
      <c r="D49" s="2">
        <f t="shared" si="1"/>
        <v>1443.36975</v>
      </c>
      <c r="E49" s="2"/>
      <c r="F49" s="2"/>
      <c r="G49" s="2">
        <f>ROUND(1443.36975,5)</f>
        <v>1443.36975</v>
      </c>
      <c r="H49" s="2"/>
      <c r="I49" s="9"/>
    </row>
    <row r="50" spans="1:9" ht="27" thickBot="1">
      <c r="A50" s="41" t="s">
        <v>107</v>
      </c>
      <c r="B50" s="43" t="s">
        <v>108</v>
      </c>
      <c r="C50" s="17" t="s">
        <v>174</v>
      </c>
      <c r="D50" s="2">
        <f t="shared" si="1"/>
        <v>2501.775</v>
      </c>
      <c r="E50" s="2"/>
      <c r="F50" s="2"/>
      <c r="G50" s="2"/>
      <c r="H50" s="2">
        <f>ROUND(2501.775,5)</f>
        <v>2501.775</v>
      </c>
      <c r="I50" s="38"/>
    </row>
    <row r="51" spans="1:9" ht="27" thickBot="1">
      <c r="A51" s="42"/>
      <c r="B51" s="44"/>
      <c r="C51" s="17" t="s">
        <v>106</v>
      </c>
      <c r="D51" s="2">
        <f t="shared" si="1"/>
        <v>2.50195</v>
      </c>
      <c r="E51" s="2"/>
      <c r="F51" s="2"/>
      <c r="G51" s="2"/>
      <c r="H51" s="2">
        <f>ROUND(2.50195,5)</f>
        <v>2.50195</v>
      </c>
      <c r="I51" s="40"/>
    </row>
    <row r="52" spans="1:9" ht="26.25" customHeight="1" thickBot="1">
      <c r="A52" s="41" t="s">
        <v>176</v>
      </c>
      <c r="B52" s="43" t="s">
        <v>177</v>
      </c>
      <c r="C52" s="17" t="s">
        <v>174</v>
      </c>
      <c r="D52" s="2">
        <f t="shared" si="1"/>
        <v>8533.8</v>
      </c>
      <c r="E52" s="2"/>
      <c r="F52" s="2"/>
      <c r="G52" s="2"/>
      <c r="H52" s="2">
        <f>ROUND(8533.8,5)</f>
        <v>8533.8</v>
      </c>
      <c r="I52" s="38" t="s">
        <v>178</v>
      </c>
    </row>
    <row r="53" spans="1:9" ht="30.75" customHeight="1" thickBot="1">
      <c r="A53" s="42"/>
      <c r="B53" s="44"/>
      <c r="C53" s="17" t="s">
        <v>106</v>
      </c>
      <c r="D53" s="2">
        <f>ROUND(SUM(E53:H53),5)</f>
        <v>86.2</v>
      </c>
      <c r="E53" s="2"/>
      <c r="F53" s="2"/>
      <c r="G53" s="2"/>
      <c r="H53" s="2">
        <f>ROUND(86.2,5)</f>
        <v>86.2</v>
      </c>
      <c r="I53" s="40"/>
    </row>
    <row r="54" spans="1:9" ht="59.25" customHeight="1" thickBot="1">
      <c r="A54" s="10" t="s">
        <v>109</v>
      </c>
      <c r="B54" s="11" t="s">
        <v>110</v>
      </c>
      <c r="C54" s="15"/>
      <c r="D54" s="1">
        <f>ROUND(D55+D68,5)</f>
        <v>219877.37232</v>
      </c>
      <c r="E54" s="1"/>
      <c r="F54" s="1">
        <f>ROUND(F55+F68,5)</f>
        <v>173461.24</v>
      </c>
      <c r="G54" s="1">
        <f>ROUND(G55+G68,5)</f>
        <v>25610.67232</v>
      </c>
      <c r="H54" s="1">
        <f>ROUND(H55+H68,5)</f>
        <v>20805.46</v>
      </c>
      <c r="I54" s="9" t="s">
        <v>111</v>
      </c>
    </row>
    <row r="55" spans="1:9" s="22" customFormat="1" ht="53.25" thickBot="1">
      <c r="A55" s="13" t="s">
        <v>112</v>
      </c>
      <c r="B55" s="21" t="s">
        <v>113</v>
      </c>
      <c r="C55" s="15"/>
      <c r="D55" s="2">
        <f>ROUND(D56+D62,5)</f>
        <v>172008.87232</v>
      </c>
      <c r="E55" s="2"/>
      <c r="F55" s="2">
        <f>ROUND(F56+F62,5)</f>
        <v>157505.12</v>
      </c>
      <c r="G55" s="2">
        <f>ROUND(G56+G62,5)</f>
        <v>9654.55232</v>
      </c>
      <c r="H55" s="2">
        <f>ROUND(H56+H62,5)</f>
        <v>4849.2</v>
      </c>
      <c r="I55" s="9"/>
    </row>
    <row r="56" spans="1:9" ht="27" thickBot="1">
      <c r="A56" s="13" t="s">
        <v>114</v>
      </c>
      <c r="B56" s="14" t="s">
        <v>115</v>
      </c>
      <c r="C56" s="17"/>
      <c r="D56" s="2">
        <f>ROUND(SUM(D57:D61),5)</f>
        <v>31969.67232</v>
      </c>
      <c r="E56" s="2"/>
      <c r="F56" s="2">
        <f>ROUND(SUM(F57:F61),5)</f>
        <v>22315.12</v>
      </c>
      <c r="G56" s="2">
        <f>ROUND(SUM(G57:G61),5)</f>
        <v>9654.55232</v>
      </c>
      <c r="H56" s="2"/>
      <c r="I56" s="9"/>
    </row>
    <row r="57" spans="1:9" ht="27" customHeight="1" thickBot="1">
      <c r="A57" s="41"/>
      <c r="B57" s="43" t="s">
        <v>116</v>
      </c>
      <c r="C57" s="17" t="s">
        <v>117</v>
      </c>
      <c r="D57" s="2">
        <f>ROUND(SUM(E57:H57),5)</f>
        <v>25183.1</v>
      </c>
      <c r="E57" s="2"/>
      <c r="F57" s="2">
        <f>ROUND(18963.9,5)</f>
        <v>18963.9</v>
      </c>
      <c r="G57" s="2">
        <f>ROUND(6219.2,5)</f>
        <v>6219.2</v>
      </c>
      <c r="H57" s="18"/>
      <c r="I57" s="38" t="s">
        <v>118</v>
      </c>
    </row>
    <row r="58" spans="1:9" ht="27" customHeight="1" thickBot="1">
      <c r="A58" s="42"/>
      <c r="B58" s="44"/>
      <c r="C58" s="17" t="s">
        <v>106</v>
      </c>
      <c r="D58" s="2">
        <f>ROUND(SUM(E58:H58),5)</f>
        <v>1559.29602</v>
      </c>
      <c r="E58" s="2"/>
      <c r="F58" s="2">
        <f>ROUND(596.1,5)</f>
        <v>596.1</v>
      </c>
      <c r="G58" s="2">
        <f>ROUND(963.19602,5)</f>
        <v>963.19602</v>
      </c>
      <c r="H58" s="19"/>
      <c r="I58" s="40"/>
    </row>
    <row r="59" spans="1:9" ht="27" customHeight="1" thickBot="1">
      <c r="A59" s="41"/>
      <c r="B59" s="43" t="s">
        <v>119</v>
      </c>
      <c r="C59" s="25" t="s">
        <v>117</v>
      </c>
      <c r="D59" s="2">
        <f>ROUND(SUM(E59:H59),5)</f>
        <v>4950.75</v>
      </c>
      <c r="E59" s="30"/>
      <c r="F59" s="30">
        <f>ROUND(2610.32,5)</f>
        <v>2610.32</v>
      </c>
      <c r="G59" s="30">
        <f>ROUND(2340.43,5)</f>
        <v>2340.43</v>
      </c>
      <c r="H59" s="18"/>
      <c r="I59" s="38" t="s">
        <v>120</v>
      </c>
    </row>
    <row r="60" spans="1:9" ht="27" customHeight="1" thickBot="1">
      <c r="A60" s="42"/>
      <c r="B60" s="44"/>
      <c r="C60" s="17" t="s">
        <v>106</v>
      </c>
      <c r="D60" s="2">
        <f>ROUND(SUM(E60:H60),5)</f>
        <v>132.5263</v>
      </c>
      <c r="E60" s="2"/>
      <c r="F60" s="2">
        <f>ROUND(72.8,5)</f>
        <v>72.8</v>
      </c>
      <c r="G60" s="2">
        <f>ROUND(59.7263,5)</f>
        <v>59.7263</v>
      </c>
      <c r="H60" s="18"/>
      <c r="I60" s="40"/>
    </row>
    <row r="61" spans="1:9" ht="45" customHeight="1" thickBot="1">
      <c r="A61" s="13"/>
      <c r="B61" s="14" t="s">
        <v>121</v>
      </c>
      <c r="C61" s="17" t="s">
        <v>117</v>
      </c>
      <c r="D61" s="2">
        <f>ROUND(SUM(E61:H61),5)</f>
        <v>144</v>
      </c>
      <c r="E61" s="2"/>
      <c r="F61" s="2">
        <f>ROUND(72,5)</f>
        <v>72</v>
      </c>
      <c r="G61" s="2">
        <f>ROUND(72,5)</f>
        <v>72</v>
      </c>
      <c r="H61" s="2"/>
      <c r="I61" s="9" t="s">
        <v>122</v>
      </c>
    </row>
    <row r="62" spans="1:9" ht="27" thickBot="1">
      <c r="A62" s="13" t="s">
        <v>123</v>
      </c>
      <c r="B62" s="14" t="s">
        <v>124</v>
      </c>
      <c r="C62" s="17"/>
      <c r="D62" s="2">
        <f>ROUND(SUM(D63:D67),5)</f>
        <v>140039.2</v>
      </c>
      <c r="E62" s="2"/>
      <c r="F62" s="2">
        <f>ROUND(SUM(F63:F67),5)</f>
        <v>135190</v>
      </c>
      <c r="G62" s="2"/>
      <c r="H62" s="2">
        <f>ROUND(SUM(H63:H67),5)</f>
        <v>4849.2</v>
      </c>
      <c r="I62" s="9"/>
    </row>
    <row r="63" spans="1:9" ht="27" thickBot="1">
      <c r="A63" s="41"/>
      <c r="B63" s="43" t="s">
        <v>125</v>
      </c>
      <c r="C63" s="17" t="s">
        <v>117</v>
      </c>
      <c r="D63" s="2">
        <f>ROUND(SUM(E63:H63),5)</f>
        <v>64367</v>
      </c>
      <c r="E63" s="2"/>
      <c r="F63" s="2">
        <f>ROUND(62335,5)</f>
        <v>62335</v>
      </c>
      <c r="G63" s="2"/>
      <c r="H63" s="2">
        <f>ROUND(2032,5)</f>
        <v>2032</v>
      </c>
      <c r="I63" s="38" t="s">
        <v>126</v>
      </c>
    </row>
    <row r="64" spans="1:9" ht="27" thickBot="1">
      <c r="A64" s="42"/>
      <c r="B64" s="44"/>
      <c r="C64" s="17" t="s">
        <v>106</v>
      </c>
      <c r="D64" s="2">
        <f>ROUND(SUM(E64:H64),5)</f>
        <v>147.711</v>
      </c>
      <c r="E64" s="2"/>
      <c r="F64" s="2"/>
      <c r="G64" s="2"/>
      <c r="H64" s="2">
        <f>ROUND(147.711,5)</f>
        <v>147.711</v>
      </c>
      <c r="I64" s="40"/>
    </row>
    <row r="65" spans="1:9" ht="27" thickBot="1">
      <c r="A65" s="41"/>
      <c r="B65" s="43" t="s">
        <v>127</v>
      </c>
      <c r="C65" s="17" t="s">
        <v>117</v>
      </c>
      <c r="D65" s="2">
        <f>ROUND(SUM(E65:H65),5)</f>
        <v>64466.2</v>
      </c>
      <c r="E65" s="2"/>
      <c r="F65" s="2">
        <f>ROUND(62415,5)</f>
        <v>62415</v>
      </c>
      <c r="G65" s="2"/>
      <c r="H65" s="2">
        <f>ROUND(2051.2,5)</f>
        <v>2051.2</v>
      </c>
      <c r="I65" s="38" t="s">
        <v>128</v>
      </c>
    </row>
    <row r="66" spans="1:9" ht="27" thickBot="1">
      <c r="A66" s="42"/>
      <c r="B66" s="44"/>
      <c r="C66" s="17" t="s">
        <v>106</v>
      </c>
      <c r="D66" s="2">
        <f>ROUND(SUM(E66:H66),5)</f>
        <v>152.289</v>
      </c>
      <c r="E66" s="2"/>
      <c r="F66" s="2"/>
      <c r="G66" s="2"/>
      <c r="H66" s="2">
        <f>ROUND(152.289,5)</f>
        <v>152.289</v>
      </c>
      <c r="I66" s="40"/>
    </row>
    <row r="67" spans="1:9" ht="26.25" customHeight="1" thickBot="1">
      <c r="A67" s="23"/>
      <c r="B67" s="24" t="s">
        <v>121</v>
      </c>
      <c r="C67" s="17" t="s">
        <v>117</v>
      </c>
      <c r="D67" s="2">
        <f>ROUND(SUM(E67:H67),5)</f>
        <v>10906</v>
      </c>
      <c r="E67" s="2"/>
      <c r="F67" s="2">
        <f>ROUND(10440,5)</f>
        <v>10440</v>
      </c>
      <c r="G67" s="2"/>
      <c r="H67" s="2">
        <f>ROUND(466,5)</f>
        <v>466</v>
      </c>
      <c r="I67" s="7" t="s">
        <v>129</v>
      </c>
    </row>
    <row r="68" spans="1:9" ht="13.5" customHeight="1" thickBot="1">
      <c r="A68" s="13" t="s">
        <v>130</v>
      </c>
      <c r="B68" s="21" t="s">
        <v>131</v>
      </c>
      <c r="C68" s="17"/>
      <c r="D68" s="2">
        <f>ROUND(SUM(D69:D76),5)</f>
        <v>47868.5</v>
      </c>
      <c r="E68" s="2"/>
      <c r="F68" s="2">
        <f>ROUND(SUM(F69:F76),5)</f>
        <v>15956.12</v>
      </c>
      <c r="G68" s="2">
        <f>ROUND(SUM(G69:G76),5)</f>
        <v>15956.12</v>
      </c>
      <c r="H68" s="2">
        <f>ROUND(SUM(H69:H76),5)</f>
        <v>15956.26</v>
      </c>
      <c r="I68" s="9"/>
    </row>
    <row r="69" spans="1:9" ht="27" thickBot="1">
      <c r="A69" s="13" t="s">
        <v>132</v>
      </c>
      <c r="B69" s="14" t="s">
        <v>133</v>
      </c>
      <c r="C69" s="17" t="s">
        <v>117</v>
      </c>
      <c r="D69" s="2">
        <f aca="true" t="shared" si="2" ref="D69:D76">ROUND(SUM(E69:H69),5)</f>
        <v>11873.86</v>
      </c>
      <c r="E69" s="2"/>
      <c r="F69" s="2">
        <f>ROUND(3957.95,5)</f>
        <v>3957.95</v>
      </c>
      <c r="G69" s="2">
        <f>ROUND(3957.95,5)</f>
        <v>3957.95</v>
      </c>
      <c r="H69" s="2">
        <f>ROUND(3957.96,5)</f>
        <v>3957.96</v>
      </c>
      <c r="I69" s="9" t="s">
        <v>134</v>
      </c>
    </row>
    <row r="70" spans="1:9" ht="27" thickBot="1">
      <c r="A70" s="13" t="s">
        <v>135</v>
      </c>
      <c r="B70" s="14" t="s">
        <v>136</v>
      </c>
      <c r="C70" s="17" t="s">
        <v>117</v>
      </c>
      <c r="D70" s="2">
        <f t="shared" si="2"/>
        <v>1824.3</v>
      </c>
      <c r="E70" s="2"/>
      <c r="F70" s="2">
        <f>ROUND(608.1,5)</f>
        <v>608.1</v>
      </c>
      <c r="G70" s="2">
        <f>ROUND(608.1,5)</f>
        <v>608.1</v>
      </c>
      <c r="H70" s="2">
        <f>ROUND(608.1,5)</f>
        <v>608.1</v>
      </c>
      <c r="I70" s="9" t="s">
        <v>137</v>
      </c>
    </row>
    <row r="71" spans="1:9" ht="39.75" thickBot="1">
      <c r="A71" s="13" t="s">
        <v>138</v>
      </c>
      <c r="B71" s="14" t="s">
        <v>139</v>
      </c>
      <c r="C71" s="17" t="s">
        <v>117</v>
      </c>
      <c r="D71" s="2">
        <f t="shared" si="2"/>
        <v>331.5</v>
      </c>
      <c r="E71" s="2"/>
      <c r="F71" s="2">
        <f>ROUND(110.5,5)</f>
        <v>110.5</v>
      </c>
      <c r="G71" s="2">
        <f>ROUND(110.5,5)</f>
        <v>110.5</v>
      </c>
      <c r="H71" s="2">
        <f>ROUND(110.5,5)</f>
        <v>110.5</v>
      </c>
      <c r="I71" s="9" t="s">
        <v>140</v>
      </c>
    </row>
    <row r="72" spans="1:9" ht="27" thickBot="1">
      <c r="A72" s="13" t="s">
        <v>141</v>
      </c>
      <c r="B72" s="14" t="s">
        <v>142</v>
      </c>
      <c r="C72" s="17" t="s">
        <v>117</v>
      </c>
      <c r="D72" s="2">
        <f t="shared" si="2"/>
        <v>21425.2</v>
      </c>
      <c r="E72" s="2"/>
      <c r="F72" s="2">
        <f>ROUND(7141.7,5)</f>
        <v>7141.7</v>
      </c>
      <c r="G72" s="2">
        <f>ROUND(7141.7,5)</f>
        <v>7141.7</v>
      </c>
      <c r="H72" s="2">
        <f>ROUND(7141.8,5)</f>
        <v>7141.8</v>
      </c>
      <c r="I72" s="9" t="s">
        <v>143</v>
      </c>
    </row>
    <row r="73" spans="1:9" ht="27" thickBot="1">
      <c r="A73" s="13" t="s">
        <v>144</v>
      </c>
      <c r="B73" s="14" t="s">
        <v>145</v>
      </c>
      <c r="C73" s="17" t="s">
        <v>117</v>
      </c>
      <c r="D73" s="2">
        <f t="shared" si="2"/>
        <v>103.72</v>
      </c>
      <c r="E73" s="2"/>
      <c r="F73" s="2">
        <f>ROUND(34.57,5)</f>
        <v>34.57</v>
      </c>
      <c r="G73" s="2">
        <f>ROUND(34.57,5)</f>
        <v>34.57</v>
      </c>
      <c r="H73" s="2">
        <f>ROUND(34.58,5)</f>
        <v>34.58</v>
      </c>
      <c r="I73" s="9" t="s">
        <v>146</v>
      </c>
    </row>
    <row r="74" spans="1:9" ht="27" thickBot="1">
      <c r="A74" s="13" t="s">
        <v>147</v>
      </c>
      <c r="B74" s="14" t="s">
        <v>148</v>
      </c>
      <c r="C74" s="17" t="s">
        <v>117</v>
      </c>
      <c r="D74" s="2">
        <f t="shared" si="2"/>
        <v>723.32</v>
      </c>
      <c r="E74" s="2"/>
      <c r="F74" s="2">
        <f>ROUND(241.1,5)</f>
        <v>241.1</v>
      </c>
      <c r="G74" s="2">
        <f>ROUND(241.1,5)</f>
        <v>241.1</v>
      </c>
      <c r="H74" s="2">
        <f>ROUND(241.12,5)</f>
        <v>241.12</v>
      </c>
      <c r="I74" s="9" t="s">
        <v>149</v>
      </c>
    </row>
    <row r="75" spans="1:9" ht="27" thickBot="1">
      <c r="A75" s="13" t="s">
        <v>150</v>
      </c>
      <c r="B75" s="14" t="s">
        <v>151</v>
      </c>
      <c r="C75" s="17" t="s">
        <v>117</v>
      </c>
      <c r="D75" s="2">
        <f t="shared" si="2"/>
        <v>453.46</v>
      </c>
      <c r="E75" s="2"/>
      <c r="F75" s="2">
        <f>ROUND(151.15,5)</f>
        <v>151.15</v>
      </c>
      <c r="G75" s="2">
        <f>ROUND(151.15,5)</f>
        <v>151.15</v>
      </c>
      <c r="H75" s="2">
        <f>ROUND(151.16,5)</f>
        <v>151.16</v>
      </c>
      <c r="I75" s="9" t="s">
        <v>152</v>
      </c>
    </row>
    <row r="76" spans="1:9" ht="27" thickBot="1">
      <c r="A76" s="13" t="s">
        <v>153</v>
      </c>
      <c r="B76" s="14" t="s">
        <v>154</v>
      </c>
      <c r="C76" s="17" t="s">
        <v>117</v>
      </c>
      <c r="D76" s="2">
        <f t="shared" si="2"/>
        <v>11133.14</v>
      </c>
      <c r="E76" s="2"/>
      <c r="F76" s="2">
        <f>ROUND(3711.05,5)</f>
        <v>3711.05</v>
      </c>
      <c r="G76" s="2">
        <f>ROUND(3711.05,5)</f>
        <v>3711.05</v>
      </c>
      <c r="H76" s="2">
        <f>ROUND(3711.04,5)</f>
        <v>3711.04</v>
      </c>
      <c r="I76" s="9" t="s">
        <v>155</v>
      </c>
    </row>
    <row r="77" spans="1:9" ht="14.25" thickBot="1">
      <c r="A77" s="13"/>
      <c r="B77" s="31" t="s">
        <v>156</v>
      </c>
      <c r="C77" s="12"/>
      <c r="D77" s="1">
        <f>ROUND(D15+D16+D17+D54,5)</f>
        <v>385086.92931</v>
      </c>
      <c r="E77" s="1">
        <f>ROUND(E15+E16+E17+E54,5)</f>
        <v>669.337</v>
      </c>
      <c r="F77" s="1">
        <f>ROUND(F15+F16+F17+F54,5)</f>
        <v>210637.58</v>
      </c>
      <c r="G77" s="1">
        <f>ROUND(G15+G16+G17+G54,5)</f>
        <v>70556.04384</v>
      </c>
      <c r="H77" s="1">
        <f>ROUND(H15+H16+H17+H54,5)</f>
        <v>103223.96847</v>
      </c>
      <c r="I77" s="38"/>
    </row>
    <row r="78" spans="1:9" ht="13.5" thickBot="1">
      <c r="A78" s="13"/>
      <c r="B78" s="14" t="s">
        <v>157</v>
      </c>
      <c r="C78" s="17"/>
      <c r="D78" s="2"/>
      <c r="E78" s="2"/>
      <c r="F78" s="2"/>
      <c r="G78" s="2"/>
      <c r="H78" s="2"/>
      <c r="I78" s="39"/>
    </row>
    <row r="79" spans="1:9" ht="13.5" thickBot="1">
      <c r="A79" s="13"/>
      <c r="B79" s="14" t="s">
        <v>106</v>
      </c>
      <c r="C79" s="17"/>
      <c r="D79" s="1">
        <f>ROUND(D15+D49+D51+D53+D58+D60+D64+D66,5)</f>
        <v>4620.96261</v>
      </c>
      <c r="E79" s="1">
        <f>ROUND(E15+E49+E51+E53+E58+E60+E64+E66,5)</f>
        <v>669.337</v>
      </c>
      <c r="F79" s="1">
        <f>ROUND(F15+F49+F51+F53+F58+F60+F64+F66,5)</f>
        <v>678.9</v>
      </c>
      <c r="G79" s="1">
        <f>ROUND(G15+G49+G51+G53+G58+G60+G64+G66,5)</f>
        <v>2638.23054</v>
      </c>
      <c r="H79" s="1">
        <f>ROUND(H15+H49+H51+H53+H58+H60+H64+H66,5)</f>
        <v>634.49507</v>
      </c>
      <c r="I79" s="39"/>
    </row>
    <row r="80" spans="1:9" ht="13.5" thickBot="1">
      <c r="A80" s="13"/>
      <c r="B80" s="14" t="s">
        <v>175</v>
      </c>
      <c r="C80" s="17"/>
      <c r="D80" s="1">
        <f>ROUND(D16+D50+D52,5)</f>
        <v>40433.7367</v>
      </c>
      <c r="E80" s="1">
        <f>ROUND(E16+E50+E52,5)</f>
        <v>0</v>
      </c>
      <c r="F80" s="1">
        <f>ROUND(F16+F50+F52,5)</f>
        <v>1000</v>
      </c>
      <c r="G80" s="1">
        <f>ROUND(G16+G50+G52,5)</f>
        <v>976.2233</v>
      </c>
      <c r="H80" s="1">
        <f>ROUND(H16+H50+H52,5)</f>
        <v>38457.5134</v>
      </c>
      <c r="I80" s="39"/>
    </row>
    <row r="81" spans="1:9" ht="13.5" thickBot="1">
      <c r="A81" s="13"/>
      <c r="B81" s="14" t="s">
        <v>28</v>
      </c>
      <c r="C81" s="17"/>
      <c r="D81" s="1">
        <f>ROUND(D19+D20+D21+D22+D23+D24+D26+D27+D28+D29+D31+D32+D33+D34+D35+D37+D38+D39+D40+D41+D44+D45+D46+D47+D48+D36+D42+D30,5)</f>
        <v>122146.68</v>
      </c>
      <c r="E81" s="1">
        <f>ROUND(E19+E20+E21+E22+E23+E24+E26+E27+E28+E29+E31+E32+E33+E34+E35+E37+E38+E39+E40+E41+E44+E45+E46+E47+E48+E36+E42+E30,5)</f>
        <v>0</v>
      </c>
      <c r="F81" s="1">
        <f>ROUND(F19+F20+F21+F22+F23+F24+F26+F27+F28+F29+F31+F32+F33+F34+F35+F37+F38+F39+F40+F41+F44+F45+F46+F47+F48+F36+F42+F30,5)</f>
        <v>36166.34</v>
      </c>
      <c r="G81" s="1">
        <f>ROUND(G19+G20+G21+G22+G23+G24+G26+G27+G28+G29+G31+G32+G33+G34+G35+G37+G38+G39+G40+G41+G44+G45+G46+G47+G48+G36+G42+G30,5)</f>
        <v>42353.84</v>
      </c>
      <c r="H81" s="1">
        <f>ROUND(H19+H20+H21+H22+H23+H24+H26+H27+H28+H29+H31+H32+H33+H34+H35+H37+H38+H39+H40+H41+H44+H45+H46+H47+H48+H36+H42+H30,5)</f>
        <v>43626.5</v>
      </c>
      <c r="I81" s="39"/>
    </row>
    <row r="82" spans="1:9" ht="13.5" thickBot="1">
      <c r="A82" s="13"/>
      <c r="B82" s="14" t="s">
        <v>117</v>
      </c>
      <c r="C82" s="17"/>
      <c r="D82" s="1">
        <f>ROUND(D57+D59+D61+D63+D65+D67+D69+D70+D71+D72+D73+D74+D75+D76,5)</f>
        <v>217885.55</v>
      </c>
      <c r="E82" s="1">
        <f>ROUND(E57+E59+E61+E63+E65+E67+E69+E70+E71+E72+E73+E74+E75+E76,5)</f>
        <v>0</v>
      </c>
      <c r="F82" s="1">
        <f>ROUND(F57+F59+F61+F63+F65+F67+F69+F70+F71+F72+F73+F74+F75+F76,5)</f>
        <v>172792.34</v>
      </c>
      <c r="G82" s="1">
        <f>ROUND(G57+G59+G61+G63+G65+G67+G69+G70+G71+G72+G73+G74+G75+G76,5)</f>
        <v>24587.75</v>
      </c>
      <c r="H82" s="1">
        <f>ROUND(H57+H59+H61+H63+H65+H67+H69+H70+H71+H72+H73+H74+H75+H76,5)</f>
        <v>20505.46</v>
      </c>
      <c r="I82" s="40"/>
    </row>
    <row r="83" spans="1:9" ht="12.75">
      <c r="A83" s="33"/>
      <c r="B83" s="34"/>
      <c r="C83" s="35"/>
      <c r="D83" s="36"/>
      <c r="E83" s="36"/>
      <c r="F83" s="36"/>
      <c r="G83" s="36"/>
      <c r="H83" s="36"/>
      <c r="I83" s="37"/>
    </row>
    <row r="84" spans="1:9" ht="12.75">
      <c r="A84" s="33"/>
      <c r="B84" s="34"/>
      <c r="C84" s="35"/>
      <c r="D84" s="36"/>
      <c r="E84" s="36"/>
      <c r="F84" s="36"/>
      <c r="G84" s="36"/>
      <c r="H84" s="36"/>
      <c r="I84" s="37"/>
    </row>
    <row r="86" spans="7:8" ht="12.75">
      <c r="G86" s="32"/>
      <c r="H86" s="32"/>
    </row>
    <row r="87" spans="7:8" ht="12.75">
      <c r="G87" s="32"/>
      <c r="H87" s="32"/>
    </row>
    <row r="88" spans="7:8" ht="12.75">
      <c r="G88" s="32"/>
      <c r="H88" s="32"/>
    </row>
    <row r="90" spans="4:8" ht="12.75">
      <c r="D90" s="32"/>
      <c r="E90" s="32"/>
      <c r="F90" s="32"/>
      <c r="G90" s="32"/>
      <c r="H90" s="32"/>
    </row>
    <row r="91" spans="4:8" ht="12.75">
      <c r="D91" s="32"/>
      <c r="E91" s="32"/>
      <c r="F91" s="32"/>
      <c r="G91" s="32"/>
      <c r="H91" s="32"/>
    </row>
    <row r="92" spans="4:8" ht="12.75">
      <c r="D92" s="32"/>
      <c r="E92" s="32"/>
      <c r="F92" s="32"/>
      <c r="G92" s="32"/>
      <c r="H92" s="32"/>
    </row>
    <row r="93" spans="4:8" ht="12.75">
      <c r="D93" s="32"/>
      <c r="E93" s="32"/>
      <c r="F93" s="32"/>
      <c r="G93" s="32"/>
      <c r="H93" s="32"/>
    </row>
  </sheetData>
  <sheetProtection/>
  <autoFilter ref="A10:I82"/>
  <mergeCells count="32">
    <mergeCell ref="G1:I1"/>
    <mergeCell ref="G2:I2"/>
    <mergeCell ref="A6:A9"/>
    <mergeCell ref="B15:B16"/>
    <mergeCell ref="I15:I16"/>
    <mergeCell ref="C6:C9"/>
    <mergeCell ref="D8:D9"/>
    <mergeCell ref="E8:H8"/>
    <mergeCell ref="C4:G4"/>
    <mergeCell ref="A50:A51"/>
    <mergeCell ref="B50:B51"/>
    <mergeCell ref="I50:I51"/>
    <mergeCell ref="I6:I9"/>
    <mergeCell ref="D6:H7"/>
    <mergeCell ref="B6:B9"/>
    <mergeCell ref="A15:A16"/>
    <mergeCell ref="A57:A58"/>
    <mergeCell ref="B57:B58"/>
    <mergeCell ref="I57:I58"/>
    <mergeCell ref="A59:A60"/>
    <mergeCell ref="B59:B60"/>
    <mergeCell ref="I59:I60"/>
    <mergeCell ref="I77:I82"/>
    <mergeCell ref="A52:A53"/>
    <mergeCell ref="B52:B53"/>
    <mergeCell ref="I52:I53"/>
    <mergeCell ref="A63:A64"/>
    <mergeCell ref="B63:B64"/>
    <mergeCell ref="I63:I64"/>
    <mergeCell ref="A65:A66"/>
    <mergeCell ref="B65:B66"/>
    <mergeCell ref="I65:I66"/>
  </mergeCells>
  <printOptions/>
  <pageMargins left="0.58" right="0.39" top="0.39" bottom="0.6" header="0.2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mig</cp:lastModifiedBy>
  <cp:lastPrinted>2013-08-15T07:16:46Z</cp:lastPrinted>
  <dcterms:created xsi:type="dcterms:W3CDTF">2012-10-26T03:13:37Z</dcterms:created>
  <dcterms:modified xsi:type="dcterms:W3CDTF">2013-08-20T07:56:30Z</dcterms:modified>
  <cp:category/>
  <cp:version/>
  <cp:contentType/>
  <cp:contentStatus/>
</cp:coreProperties>
</file>