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52" yWindow="65428" windowWidth="10932" windowHeight="11136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'Лист1'!$5:$6</definedName>
    <definedName name="_xlnm.Print_Area" localSheetId="0">'Лист1'!$A$1:$O$141</definedName>
  </definedNames>
  <calcPr fullCalcOnLoad="1"/>
</workbook>
</file>

<file path=xl/sharedStrings.xml><?xml version="1.0" encoding="utf-8"?>
<sst xmlns="http://schemas.openxmlformats.org/spreadsheetml/2006/main" count="315" uniqueCount="158">
  <si>
    <t>№п/п</t>
  </si>
  <si>
    <t>Наименование работ</t>
  </si>
  <si>
    <t>Ед.изм.</t>
  </si>
  <si>
    <t>К-во</t>
  </si>
  <si>
    <t>2010 год</t>
  </si>
  <si>
    <t>2011 год</t>
  </si>
  <si>
    <t>2012 год</t>
  </si>
  <si>
    <t>2013 год</t>
  </si>
  <si>
    <t>В том числе:</t>
  </si>
  <si>
    <t>Итого, руб</t>
  </si>
  <si>
    <t>Городской бюджет</t>
  </si>
  <si>
    <t>Краевой, федеральный бюджет</t>
  </si>
  <si>
    <t>1.</t>
  </si>
  <si>
    <t>Выполнение работ по проведению обязательного энергетического обследования:</t>
  </si>
  <si>
    <t>шт.</t>
  </si>
  <si>
    <t>1.1.</t>
  </si>
  <si>
    <t>Администрация города Шарыпово (адм.здание, гараж).</t>
  </si>
  <si>
    <t xml:space="preserve">1.2. </t>
  </si>
  <si>
    <t>Управление образованием Администрация города Шарыпово:</t>
  </si>
  <si>
    <t>Муниципальное бюджетное образовательное учреждение дополнительного образования детей «Центр детского технического творчества» (МБОУ ДОД ЦДТТ)</t>
  </si>
  <si>
    <t>Муниципальное автономное образовательное учреждение дополнительного образования детей "Детский оздоровительно-образовательный лагерь "Бригантина"" (МАОУ ДОД ДООЛ "Бригатнина")</t>
  </si>
  <si>
    <t>муниципальное бюджетное общеобразовательное учреждение «Средняя общеобразовательная школа № 1»;(МБОУ СОШ № 1)</t>
  </si>
  <si>
    <t>муниципальное бюджетное общеобразовательное учреждение "Основная общеобразовательная школа № 6"; (МБОУ ООШ № 6)</t>
  </si>
  <si>
    <t>муниципальное бюджетное общеобразовательное учреждение "Основная общеобразовательная школа №4"; (МБОУ ООШ № 4)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</si>
  <si>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детей № 2 «Дюймовочка»  (МБДОУ № 2 «Дюймовочка»)</t>
  </si>
  <si>
    <t>муниципальное бюджетное дошкольное образовательное учреждение «Детский сад №5 «Дельфин» комбинированного вида » (МБДОУ № 5 «Дельфин»)</t>
  </si>
  <si>
    <t>муниципальное бюджетное дошкольное образовательное учреждение «Детский сад № 22 «Журавушка» общеразвивающего вида с приоритетным осуществлением деятельности по художественно – эстетическому направлению развития детей» (МБДОУ № 22 «Журавушка»)</t>
  </si>
  <si>
    <t>муниципальное бюджетное дошкольное образовательное учреждение «Детский сад № 21 «Золотой ключик» комбинированного вида» (МБДОУ № 21 "Золотой ключик")</t>
  </si>
  <si>
    <t>муниципальное бюджетное дошкольное образовательное учреждение «Детский сад № 15 «Ромашка» общеразвивающего вида с приоритетным осуществлением деятельности по физическому направлению развития детей» (МБДОУ № 15 "Ромашка")</t>
  </si>
  <si>
    <t>муниципальное бюджетное дошкольное образовательное учреждение «Детский сад № 4 «Росинка» комбинированного вида» ( МБДОУ № 4 «Росинка»)</t>
  </si>
  <si>
    <t>муниципальное бюджетное дошкольное образовательное учреждение «Детский сад № 8 «Теремок» общеразвивающего вида с приоритетным осуществлением деятельности по художественно-эстетическому направлению развития детей» (МБДОУ № 8 «Теремок»)</t>
  </si>
  <si>
    <t>муниципальное бюджетное дошкольное образовательное учреждение «Детский сад № 10 «Сказка» комбинированного вида» (МБДОУ № 10 «Сказка»)</t>
  </si>
  <si>
    <t>муниципальное бюджетное дошкольное образовательное учреждение «Детский сад № 3 «Чебурашка» общеразвивающего вида с приоритетным осуществлением деятельности по экологическому направлению развития детей» ( МБДОУ № 3 «Чебурашка»)</t>
  </si>
  <si>
    <t>Административное здание</t>
  </si>
  <si>
    <t>муниципальное бюджетное  учреждение образования «Информационно-методический центр работников образования города Шарыпово» (МБУО ИМЦ РО)</t>
  </si>
  <si>
    <t>муниципальное бюджетное образовательное учреждение дополнительного образования детей «Детско-юношеский центр» города Шарыпово (МБОУ ДОД ДЮЦ г.Шарыпово)</t>
  </si>
  <si>
    <t>муниципальное бюджетное общеобразовательное учреждение "Средняя общеобразовательная школа № 2" (МБОУ СОШ № 2)</t>
  </si>
  <si>
    <t>муниципальное автономное общеобразовательное учреждение «Средняя общеобразовательная школа № 3» города Шарыпово (МАОУ СОШ № 3)</t>
  </si>
  <si>
    <t>муниципальное бюджетное общеобразовательное учреждение «Средняя общеобразовательная школа № 7» города Шарыпово (МБОУ СОШ №7)</t>
  </si>
  <si>
    <t>муниципальное автономное образовательное учреждение «Средняя общеобразовательная школа № 8» города Шарыпово (МАОУ СОШ № 8)</t>
  </si>
  <si>
    <t>муниципальное бюджетное образовательное учреждение «Начальная общеобразовательная школа № 11»  (МБОУ НОШ № 11)</t>
  </si>
  <si>
    <t>1.3.</t>
  </si>
  <si>
    <t xml:space="preserve">Муниципальное бюджетное учреждение Молодежный центр "Информационное молодежное агенство" </t>
  </si>
  <si>
    <t>1.4.</t>
  </si>
  <si>
    <t>Отдел культуры Администрации города Шарыпово:</t>
  </si>
  <si>
    <t>Муниципальное автономное учреждение «Центр культуры и кино»(городскеой дом культуры, дом культуры п.Горячегорск, гараж)</t>
  </si>
  <si>
    <t>Муниципальное бюджетное учреждение «Краеведческий музей г. Шарыпово»</t>
  </si>
  <si>
    <t>Муниципальное бюджетное учреждение  «Централизованная библиотечная система г. Шарыпово» в т.ч.:</t>
  </si>
  <si>
    <t>Центральная городская библиотека</t>
  </si>
  <si>
    <t>Детская городская библиотека</t>
  </si>
  <si>
    <t>Филиал № 3</t>
  </si>
  <si>
    <t>Филиал № 7</t>
  </si>
  <si>
    <t>Филиал № 8</t>
  </si>
  <si>
    <t>Филиал № 4,6</t>
  </si>
  <si>
    <t>Муниципальное автономное учреждение «Городской драматический театр»</t>
  </si>
  <si>
    <t>Муниципальное автономное учреждение "Дом культуры п. Дубинино"</t>
  </si>
  <si>
    <t>Муниципальное бюджетное образовательное учреждение дополнительного образования детей «Детская школа искусств п. Дубинино»</t>
  </si>
  <si>
    <t>Муниципальное бюджетное образовательное учреждение дополнительного образования детей «Детская школа искусств г. Шарыпово»</t>
  </si>
  <si>
    <t>1.5.</t>
  </si>
  <si>
    <t>Муниципальное бюджетное учреждение здравоохранения «Дубининская городская больница»:</t>
  </si>
  <si>
    <t>гараж</t>
  </si>
  <si>
    <t>1.6.</t>
  </si>
  <si>
    <t>Управление социальной защиты населения Администрации города Шарыпово:</t>
  </si>
  <si>
    <t>Муниципальное бюджетное учреждение «Комплексный центр социального обслуживания населения"(Берлин 14 и 21б)</t>
  </si>
  <si>
    <t>1.7.</t>
  </si>
  <si>
    <t>Муниципальное бюджетное учреждение здравоохранения «Шарыповская городская больница»</t>
  </si>
  <si>
    <t>Хозяйственный блок</t>
  </si>
  <si>
    <t>Родильное отделение</t>
  </si>
  <si>
    <t>Психиневрологическое отделение</t>
  </si>
  <si>
    <t>Морг</t>
  </si>
  <si>
    <t>Детская поликлиника</t>
  </si>
  <si>
    <t>Стоматология</t>
  </si>
  <si>
    <t>Женская консультация</t>
  </si>
  <si>
    <t>Наркологическое отделение</t>
  </si>
  <si>
    <t>Поликлиника</t>
  </si>
  <si>
    <t>Терапевтическое отделение</t>
  </si>
  <si>
    <t>Гинекологическое отделение</t>
  </si>
  <si>
    <t>Гараж</t>
  </si>
  <si>
    <t>Инфекционное отделение</t>
  </si>
  <si>
    <t>Хирургия</t>
  </si>
  <si>
    <t>Скорая помощь п.Дубинино</t>
  </si>
  <si>
    <t>1.8.</t>
  </si>
  <si>
    <t>Администрация поселка Горячегорск в городе Шарыпово</t>
  </si>
  <si>
    <t>1.9.</t>
  </si>
  <si>
    <t>Администрация поселка Дубинино города Шарыпово</t>
  </si>
  <si>
    <t>1.10.</t>
  </si>
  <si>
    <t>Муниципальное автономное учреждение "Санитарная инспекция по городу Шарыпово"</t>
  </si>
  <si>
    <t>Установка прибора учета горячего водоснабжения:</t>
  </si>
  <si>
    <t>2.1.</t>
  </si>
  <si>
    <t>Муниципальное бюджетное учреждение «Централизованная библиотечная система г.Шарыпово»(филиал №3)</t>
  </si>
  <si>
    <t>2.2.</t>
  </si>
  <si>
    <t>2.3.</t>
  </si>
  <si>
    <t>Муниципальное автономное учреждение "Центр физкультурно-спортивной подготовки"(здание спортивного зала БВЗ-п.Дубинино,ул.9 мая, общ.№23и ул.П.КАТЭКа, 18)</t>
  </si>
  <si>
    <t>2.4.</t>
  </si>
  <si>
    <t>Реконструкция системы горячего и холодного водоснабжения:</t>
  </si>
  <si>
    <t>3.1.</t>
  </si>
  <si>
    <t>Муниципальное бюджетное учреждение здравоохранения «Шарыповская городская больница»:</t>
  </si>
  <si>
    <t>Стамотология и ж/консультация</t>
  </si>
  <si>
    <t>Замена приборов учета тепловой энергии:</t>
  </si>
  <si>
    <t>4.1.</t>
  </si>
  <si>
    <t xml:space="preserve">Инфекционное отделение </t>
  </si>
  <si>
    <t>Установка приборов учета тепловой энергии в т.ч разработка проектно-сметной документации:</t>
  </si>
  <si>
    <t>5.1.</t>
  </si>
  <si>
    <t>Разработка Проектно-сметной документации:</t>
  </si>
  <si>
    <t>5.1.1.</t>
  </si>
  <si>
    <t>здание скорой помощи(ул.Революции,6)</t>
  </si>
  <si>
    <t>5.1.2.</t>
  </si>
  <si>
    <t>Муниципальное бюджетное учреждение "Комплексный центр социального обслуживания населения"</t>
  </si>
  <si>
    <t>Берлин 14 и Берлин 21б</t>
  </si>
  <si>
    <t>5.2.</t>
  </si>
  <si>
    <t>Установка приборов учета тепловой энергии :</t>
  </si>
  <si>
    <t>5.2.1.</t>
  </si>
  <si>
    <t>5.2.2.</t>
  </si>
  <si>
    <t>Разработка проектно-сметной документации системы отопления с установкой системы погодного регулирования:</t>
  </si>
  <si>
    <t>6.1.</t>
  </si>
  <si>
    <t xml:space="preserve"> муниципальное автономное общеобразовательное учреждение "Средняя общеобразовательная школа № 8" города Шарыпово (МАОУ СОШ № 8 города Шарыпово)</t>
  </si>
  <si>
    <t>Замена счетчика электрической энергии:</t>
  </si>
  <si>
    <t>7.1.</t>
  </si>
  <si>
    <t>Муниципальное Автономное учреждение "Центр физкультурно-спортивной подготовки"(здание спортивного зала)</t>
  </si>
  <si>
    <t>Муниципальное Автономное учреждение "Центр физкультурно-спортивной подготовки"(здание с/к "Ровесник")</t>
  </si>
  <si>
    <t>7.2.</t>
  </si>
  <si>
    <t>Муниципальное бюджетное учреждение «Централизованная библиотечная система г.Шарыпово»(филиал №8)</t>
  </si>
  <si>
    <t>Мероприятия по устранению перегревов зданий(согласно смет):</t>
  </si>
  <si>
    <t>8.1.</t>
  </si>
  <si>
    <t>Муниципальное бюджетное учреждение здравоохранения "Шарыповская городская больница"</t>
  </si>
  <si>
    <t>8.2.</t>
  </si>
  <si>
    <t>Муниципальное автономное учреждение "Центр кулитуры и кино"</t>
  </si>
  <si>
    <t>8.3.</t>
  </si>
  <si>
    <t>Муниципальное бюджетное образовательное учреждение дополнительного образования детей "Детская школа искусство п.Дубинино"</t>
  </si>
  <si>
    <t>8.4.</t>
  </si>
  <si>
    <t>Администрация города Шарыпово</t>
  </si>
  <si>
    <t>Мероприятия по подключение к электроснабжению:</t>
  </si>
  <si>
    <t>9.1.</t>
  </si>
  <si>
    <t>10.</t>
  </si>
  <si>
    <t>Установка систем автоматического регулирования систем отопления и горячего водоснабжения</t>
  </si>
  <si>
    <t>10.2.</t>
  </si>
  <si>
    <t>11.</t>
  </si>
  <si>
    <t>Замена приборов учета холодного водоснабжения</t>
  </si>
  <si>
    <t>11.1.</t>
  </si>
  <si>
    <t>Хозблок</t>
  </si>
  <si>
    <t>Поликлиника № 1</t>
  </si>
  <si>
    <t>ИТОГО</t>
  </si>
  <si>
    <t>в том числе: Городской бюджет</t>
  </si>
  <si>
    <t xml:space="preserve">Краевой, федеральный бюджет </t>
  </si>
  <si>
    <t>Отдел спорта, туризма и молодежной политики Администрации города Шарыпово:</t>
  </si>
  <si>
    <t>Муниципальное автономное образовательное учреждение "Детский оздоровительно-образовательный лагерь "Парус" (МАЛУ ДООЛ "Парус")</t>
  </si>
  <si>
    <t>12.</t>
  </si>
  <si>
    <t>Утепление наружных ограждающих конструкций: монтаж вентилируемого фасада</t>
  </si>
  <si>
    <t>13.</t>
  </si>
  <si>
    <t>Замена оконнх блоков на блоки из ПВХ профиля</t>
  </si>
  <si>
    <t>14.</t>
  </si>
  <si>
    <t>Установка автоматической терморегулирующей арматуры на приборы отопления</t>
  </si>
  <si>
    <t>15.</t>
  </si>
  <si>
    <t>Замена системы отопления</t>
  </si>
  <si>
    <t>16.</t>
  </si>
  <si>
    <t>Замена смесителей на экономичные порционно-нажимные с аэратором и возможностью регулировки температуры</t>
  </si>
  <si>
    <t>Приложение №2 к Постановлению Администрации города Шарыпово</t>
  </si>
  <si>
    <t xml:space="preserve">от "15" августа 2013г №177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</si>
</sst>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0"/>
  </numFmts>
  <fonts count="45">
    <font>
      <sz val="10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13"/>
      <name val="Arial Cyr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2" fontId="3" fillId="32" borderId="0" xfId="0" applyNumberFormat="1" applyFont="1" applyFill="1" applyAlignment="1">
      <alignment/>
    </xf>
    <xf numFmtId="0" fontId="3" fillId="32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Alignment="1">
      <alignment horizontal="justify" vertical="justify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Alignment="1">
      <alignment horizontal="justify" vertical="justify" wrapText="1"/>
    </xf>
    <xf numFmtId="164" fontId="6" fillId="34" borderId="0" xfId="0" applyNumberFormat="1" applyFont="1" applyFill="1" applyBorder="1" applyAlignment="1">
      <alignment/>
    </xf>
    <xf numFmtId="4" fontId="6" fillId="34" borderId="0" xfId="0" applyNumberFormat="1" applyFont="1" applyFill="1" applyBorder="1" applyAlignment="1">
      <alignment/>
    </xf>
    <xf numFmtId="165" fontId="6" fillId="34" borderId="0" xfId="0" applyNumberFormat="1" applyFont="1" applyFill="1" applyAlignment="1">
      <alignment horizontal="justify" vertical="justify" wrapText="1"/>
    </xf>
    <xf numFmtId="0" fontId="6" fillId="33" borderId="0" xfId="0" applyFont="1" applyFill="1" applyAlignment="1">
      <alignment horizontal="justify" vertical="justify" wrapText="1"/>
    </xf>
    <xf numFmtId="4" fontId="6" fillId="33" borderId="0" xfId="0" applyNumberFormat="1" applyFont="1" applyFill="1" applyBorder="1" applyAlignment="1">
      <alignment/>
    </xf>
    <xf numFmtId="2" fontId="6" fillId="33" borderId="0" xfId="0" applyNumberFormat="1" applyFont="1" applyFill="1" applyBorder="1" applyAlignment="1">
      <alignment/>
    </xf>
    <xf numFmtId="164" fontId="7" fillId="33" borderId="0" xfId="0" applyNumberFormat="1" applyFont="1" applyFill="1" applyAlignment="1">
      <alignment horizontal="center" vertical="center" wrapText="1"/>
    </xf>
    <xf numFmtId="164" fontId="7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6" fillId="34" borderId="0" xfId="0" applyFont="1" applyFill="1" applyAlignment="1">
      <alignment horizontal="justify" vertical="justify" wrapText="1"/>
    </xf>
    <xf numFmtId="0" fontId="6" fillId="34" borderId="0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 vertical="center" wrapText="1"/>
    </xf>
    <xf numFmtId="0" fontId="6" fillId="35" borderId="0" xfId="0" applyFont="1" applyFill="1" applyAlignment="1">
      <alignment horizontal="justify" vertical="justify" wrapText="1"/>
    </xf>
    <xf numFmtId="0" fontId="6" fillId="35" borderId="0" xfId="0" applyFont="1" applyFill="1" applyBorder="1" applyAlignment="1">
      <alignment/>
    </xf>
    <xf numFmtId="0" fontId="5" fillId="0" borderId="14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wrapText="1"/>
    </xf>
    <xf numFmtId="0" fontId="6" fillId="0" borderId="0" xfId="0" applyFont="1" applyFill="1" applyAlignment="1">
      <alignment horizontal="justify" vertical="justify" wrapText="1"/>
    </xf>
    <xf numFmtId="0" fontId="6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justify" vertical="justify" wrapText="1"/>
    </xf>
    <xf numFmtId="0" fontId="8" fillId="0" borderId="0" xfId="0" applyFont="1" applyFill="1" applyBorder="1" applyAlignment="1">
      <alignment/>
    </xf>
    <xf numFmtId="0" fontId="6" fillId="3" borderId="0" xfId="0" applyFont="1" applyFill="1" applyAlignment="1">
      <alignment horizontal="justify" vertical="justify" wrapText="1"/>
    </xf>
    <xf numFmtId="0" fontId="6" fillId="3" borderId="0" xfId="0" applyFont="1" applyFill="1" applyBorder="1" applyAlignment="1">
      <alignment/>
    </xf>
    <xf numFmtId="16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8" fillId="32" borderId="0" xfId="0" applyFont="1" applyFill="1" applyAlignment="1">
      <alignment horizontal="justify" vertical="justify" wrapText="1"/>
    </xf>
    <xf numFmtId="0" fontId="8" fillId="32" borderId="0" xfId="0" applyFont="1" applyFill="1" applyBorder="1" applyAlignment="1">
      <alignment/>
    </xf>
    <xf numFmtId="4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justify" vertical="justify" wrapText="1"/>
    </xf>
    <xf numFmtId="0" fontId="7" fillId="3" borderId="0" xfId="0" applyFont="1" applyFill="1" applyBorder="1" applyAlignment="1">
      <alignment/>
    </xf>
    <xf numFmtId="0" fontId="7" fillId="0" borderId="0" xfId="0" applyFont="1" applyFill="1" applyAlignment="1">
      <alignment horizontal="justify" vertical="justify" wrapText="1"/>
    </xf>
    <xf numFmtId="0" fontId="7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justify" vertical="justify" wrapText="1"/>
    </xf>
    <xf numFmtId="0" fontId="8" fillId="3" borderId="0" xfId="0" applyFont="1" applyFill="1" applyBorder="1" applyAlignment="1">
      <alignment/>
    </xf>
    <xf numFmtId="0" fontId="7" fillId="36" borderId="0" xfId="0" applyFont="1" applyFill="1" applyAlignment="1">
      <alignment horizontal="justify" vertical="justify" wrapText="1"/>
    </xf>
    <xf numFmtId="0" fontId="7" fillId="36" borderId="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wrapText="1"/>
    </xf>
    <xf numFmtId="0" fontId="4" fillId="0" borderId="18" xfId="0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wrapText="1"/>
    </xf>
    <xf numFmtId="0" fontId="5" fillId="0" borderId="22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/>
    </xf>
    <xf numFmtId="0" fontId="6" fillId="32" borderId="0" xfId="0" applyFont="1" applyFill="1" applyAlignment="1">
      <alignment horizontal="justify" vertical="justify" wrapText="1"/>
    </xf>
    <xf numFmtId="0" fontId="6" fillId="32" borderId="0" xfId="0" applyFont="1" applyFill="1" applyBorder="1" applyAlignment="1">
      <alignment/>
    </xf>
    <xf numFmtId="0" fontId="4" fillId="0" borderId="2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wrapText="1"/>
    </xf>
    <xf numFmtId="0" fontId="4" fillId="0" borderId="28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justify" wrapText="1"/>
    </xf>
    <xf numFmtId="0" fontId="9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justify" vertical="justify" wrapText="1"/>
    </xf>
    <xf numFmtId="0" fontId="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justify" vertical="justify" wrapText="1"/>
    </xf>
    <xf numFmtId="4" fontId="4" fillId="0" borderId="15" xfId="0" applyNumberFormat="1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justify" vertical="justify" wrapText="1"/>
    </xf>
    <xf numFmtId="0" fontId="8" fillId="32" borderId="0" xfId="0" applyFont="1" applyFill="1" applyBorder="1" applyAlignment="1">
      <alignment horizontal="justify" vertical="justify" wrapText="1"/>
    </xf>
    <xf numFmtId="0" fontId="6" fillId="3" borderId="0" xfId="0" applyFont="1" applyFill="1" applyBorder="1" applyAlignment="1">
      <alignment horizontal="justify" vertical="justify" wrapText="1"/>
    </xf>
    <xf numFmtId="0" fontId="4" fillId="0" borderId="13" xfId="0" applyFont="1" applyFill="1" applyBorder="1" applyAlignment="1">
      <alignment horizontal="left" vertical="center" wrapText="1"/>
    </xf>
    <xf numFmtId="4" fontId="2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" fontId="2" fillId="0" borderId="13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Alignment="1">
      <alignment horizontal="left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3"/>
  <sheetViews>
    <sheetView tabSelected="1" view="pageBreakPreview" zoomScale="80" zoomScaleSheetLayoutView="80" zoomScalePageLayoutView="0" workbookViewId="0" topLeftCell="A1">
      <pane xSplit="2" ySplit="6" topLeftCell="G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143" sqref="I143:N143"/>
    </sheetView>
  </sheetViews>
  <sheetFormatPr defaultColWidth="9.00390625" defaultRowHeight="12.75"/>
  <cols>
    <col min="1" max="1" width="6.50390625" style="0" customWidth="1"/>
    <col min="2" max="2" width="69.875" style="0" customWidth="1"/>
    <col min="3" max="3" width="9.00390625" style="0" customWidth="1"/>
    <col min="4" max="4" width="13.625" style="0" customWidth="1"/>
    <col min="5" max="5" width="10.625" style="0" customWidth="1"/>
    <col min="6" max="6" width="12.625" style="0" customWidth="1"/>
    <col min="7" max="7" width="10.625" style="0" customWidth="1"/>
    <col min="8" max="8" width="12.625" style="0" customWidth="1"/>
    <col min="9" max="9" width="10.625" style="0" customWidth="1"/>
    <col min="10" max="11" width="12.625" style="0" customWidth="1"/>
    <col min="12" max="12" width="14.50390625" style="0" customWidth="1"/>
    <col min="13" max="13" width="12.625" style="0" customWidth="1"/>
    <col min="14" max="14" width="15.50390625" style="0" customWidth="1"/>
    <col min="15" max="15" width="14.875" style="0" customWidth="1"/>
    <col min="16" max="16" width="13.375" style="0" customWidth="1"/>
    <col min="17" max="17" width="14.50390625" style="0" bestFit="1" customWidth="1"/>
    <col min="18" max="18" width="17.50390625" style="0" customWidth="1"/>
  </cols>
  <sheetData>
    <row r="1" spans="11:15" ht="12.75">
      <c r="K1" s="179" t="s">
        <v>156</v>
      </c>
      <c r="L1" s="179"/>
      <c r="M1" s="179"/>
      <c r="N1" s="179"/>
      <c r="O1" s="179"/>
    </row>
    <row r="2" spans="11:15" ht="12.75">
      <c r="K2" s="179" t="s">
        <v>157</v>
      </c>
      <c r="L2" s="179"/>
      <c r="M2" s="179"/>
      <c r="N2" s="179"/>
      <c r="O2" s="179"/>
    </row>
    <row r="4" ht="13.5" thickBot="1"/>
    <row r="5" spans="1:18" ht="14.25" thickBot="1">
      <c r="A5" s="186" t="s">
        <v>0</v>
      </c>
      <c r="B5" s="186" t="s">
        <v>1</v>
      </c>
      <c r="C5" s="186" t="s">
        <v>2</v>
      </c>
      <c r="D5" s="186" t="s">
        <v>3</v>
      </c>
      <c r="E5" s="186" t="s">
        <v>4</v>
      </c>
      <c r="F5" s="186"/>
      <c r="G5" s="186" t="s">
        <v>5</v>
      </c>
      <c r="H5" s="186"/>
      <c r="I5" s="186" t="s">
        <v>6</v>
      </c>
      <c r="J5" s="186"/>
      <c r="K5" s="186" t="s">
        <v>7</v>
      </c>
      <c r="L5" s="186"/>
      <c r="M5" s="182" t="s">
        <v>8</v>
      </c>
      <c r="N5" s="183"/>
      <c r="O5" s="184" t="s">
        <v>9</v>
      </c>
      <c r="P5" s="1"/>
      <c r="Q5" s="2"/>
      <c r="R5" s="2"/>
    </row>
    <row r="6" spans="1:18" ht="42" thickBot="1">
      <c r="A6" s="186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3" t="s">
        <v>10</v>
      </c>
      <c r="N6" s="3" t="s">
        <v>11</v>
      </c>
      <c r="O6" s="185"/>
      <c r="P6" s="4"/>
      <c r="Q6" s="2"/>
      <c r="R6" s="2"/>
    </row>
    <row r="7" spans="1:18" ht="12.75">
      <c r="A7" s="191" t="s">
        <v>12</v>
      </c>
      <c r="B7" s="193" t="s">
        <v>13</v>
      </c>
      <c r="C7" s="187" t="s">
        <v>14</v>
      </c>
      <c r="D7" s="195">
        <f>D9+D10+D34+D36+D51+D53+D55+D72+D73+D74</f>
        <v>70</v>
      </c>
      <c r="E7" s="187"/>
      <c r="F7" s="180"/>
      <c r="G7" s="187"/>
      <c r="H7" s="180"/>
      <c r="I7" s="187">
        <f>I9+I14+I15+I17+I18+I19+I20+I21+I22+I23+I24+I25+I26+I27</f>
        <v>16</v>
      </c>
      <c r="J7" s="180">
        <f>ROUND(J9+J10+J34+J36+J51+J53+J55+J72+J73+J74,2)</f>
        <v>977200.1</v>
      </c>
      <c r="K7" s="189">
        <v>49</v>
      </c>
      <c r="L7" s="180">
        <f>ROUND(L9+L10+L34+L36+L51+L53+L55+L72+L73+L74,2)</f>
        <v>2492255.08</v>
      </c>
      <c r="M7" s="180">
        <f>ROUND(M9+M10+M34+M36+M51+M53+M55+M72+M73+M74,2)</f>
        <v>2491.88</v>
      </c>
      <c r="N7" s="180">
        <f>ROUND(N9+N10+N34+N36+N51+N53+N55+N72+N73+N74,2)</f>
        <v>2489763.2</v>
      </c>
      <c r="O7" s="180">
        <f>ROUND(F7+H7+J7+L7,2)</f>
        <v>3469455.18</v>
      </c>
      <c r="P7" s="7"/>
      <c r="Q7" s="8"/>
      <c r="R7" s="8"/>
    </row>
    <row r="8" spans="1:18" ht="13.5" thickBot="1">
      <c r="A8" s="192"/>
      <c r="B8" s="194"/>
      <c r="C8" s="188"/>
      <c r="D8" s="196"/>
      <c r="E8" s="188"/>
      <c r="F8" s="181"/>
      <c r="G8" s="188"/>
      <c r="H8" s="181"/>
      <c r="I8" s="188"/>
      <c r="J8" s="181"/>
      <c r="K8" s="190"/>
      <c r="L8" s="181"/>
      <c r="M8" s="181"/>
      <c r="N8" s="181"/>
      <c r="O8" s="181"/>
      <c r="P8" s="13"/>
      <c r="Q8" s="14"/>
      <c r="R8" s="14"/>
    </row>
    <row r="9" spans="1:18" ht="14.25" thickBot="1">
      <c r="A9" s="15" t="s">
        <v>15</v>
      </c>
      <c r="B9" s="16" t="s">
        <v>16</v>
      </c>
      <c r="C9" s="17" t="s">
        <v>14</v>
      </c>
      <c r="D9" s="18">
        <f>E9+G9+I9+K9</f>
        <v>4</v>
      </c>
      <c r="E9" s="17"/>
      <c r="F9" s="19"/>
      <c r="G9" s="17"/>
      <c r="H9" s="19"/>
      <c r="I9" s="17">
        <v>2</v>
      </c>
      <c r="J9" s="19">
        <f>ROUND(60060.35,2)</f>
        <v>60060.35</v>
      </c>
      <c r="K9" s="20">
        <v>2</v>
      </c>
      <c r="L9" s="19">
        <f>ROUND(M9+N9,2)</f>
        <v>278692.04</v>
      </c>
      <c r="M9" s="19">
        <f>ROUND(278.41,2)</f>
        <v>278.41</v>
      </c>
      <c r="N9" s="19">
        <f>ROUND(278413.63,2)</f>
        <v>278413.63</v>
      </c>
      <c r="O9" s="19"/>
      <c r="P9" s="21"/>
      <c r="Q9" s="21"/>
      <c r="R9" s="21"/>
    </row>
    <row r="10" spans="1:18" ht="13.5" thickBot="1">
      <c r="A10" s="22" t="s">
        <v>17</v>
      </c>
      <c r="B10" s="23" t="s">
        <v>18</v>
      </c>
      <c r="C10" s="17" t="s">
        <v>14</v>
      </c>
      <c r="D10" s="17">
        <f aca="true" t="shared" si="0" ref="D10:D74">E10+G10+I10+K10</f>
        <v>23</v>
      </c>
      <c r="E10" s="24"/>
      <c r="F10" s="25"/>
      <c r="G10" s="24"/>
      <c r="H10" s="25"/>
      <c r="I10" s="24">
        <f>I14+I15+I17+I18+I19+I20+I21+I22+I23+I24+I25+I26+I27</f>
        <v>14</v>
      </c>
      <c r="J10" s="25">
        <f>ROUND(SUM(J11:J33),2)</f>
        <v>795888.63</v>
      </c>
      <c r="K10" s="26">
        <v>9</v>
      </c>
      <c r="L10" s="25">
        <f>ROUND(SUM(L11:L33),2)</f>
        <v>822079.71</v>
      </c>
      <c r="M10" s="25">
        <f>ROUND(SUM(M11:M33),2)</f>
        <v>822.07</v>
      </c>
      <c r="N10" s="25">
        <f>ROUND(SUM(N11:N33),2)</f>
        <v>821257.64</v>
      </c>
      <c r="O10" s="25"/>
      <c r="P10" s="27"/>
      <c r="Q10" s="27"/>
      <c r="R10" s="27"/>
    </row>
    <row r="11" spans="1:18" ht="41.25" customHeight="1" thickBot="1">
      <c r="A11" s="15"/>
      <c r="B11" s="23" t="s">
        <v>19</v>
      </c>
      <c r="C11" s="15" t="s">
        <v>14</v>
      </c>
      <c r="D11" s="17">
        <f t="shared" si="0"/>
        <v>1</v>
      </c>
      <c r="E11" s="17"/>
      <c r="F11" s="19"/>
      <c r="G11" s="17"/>
      <c r="H11" s="19"/>
      <c r="I11" s="17"/>
      <c r="J11" s="19"/>
      <c r="K11" s="20">
        <v>1</v>
      </c>
      <c r="L11" s="19">
        <f>ROUND(58703.83,2)</f>
        <v>58703.83</v>
      </c>
      <c r="M11" s="19">
        <f>ROUND(58.7,2)</f>
        <v>58.7</v>
      </c>
      <c r="N11" s="19">
        <f>ROUND(58645.13,2)</f>
        <v>58645.13</v>
      </c>
      <c r="O11" s="19"/>
      <c r="P11" s="27"/>
      <c r="Q11" s="28"/>
      <c r="R11" s="29"/>
    </row>
    <row r="12" spans="1:18" ht="39" customHeight="1" thickBot="1">
      <c r="A12" s="22"/>
      <c r="B12" s="23" t="s">
        <v>145</v>
      </c>
      <c r="C12" s="24"/>
      <c r="D12" s="17"/>
      <c r="E12" s="24"/>
      <c r="F12" s="25"/>
      <c r="G12" s="24"/>
      <c r="H12" s="25"/>
      <c r="I12" s="24"/>
      <c r="J12" s="25"/>
      <c r="K12" s="26">
        <v>1</v>
      </c>
      <c r="L12" s="19">
        <f>ROUND(M12+N12,2)</f>
        <v>95277.41</v>
      </c>
      <c r="M12" s="19">
        <f>ROUND(95.28,2)</f>
        <v>95.28</v>
      </c>
      <c r="N12" s="19">
        <f>ROUND(95182.13,2)</f>
        <v>95182.13</v>
      </c>
      <c r="O12" s="25"/>
      <c r="P12" s="27"/>
      <c r="Q12" s="28"/>
      <c r="R12" s="29"/>
    </row>
    <row r="13" spans="1:18" ht="47.25" customHeight="1" thickBot="1">
      <c r="A13" s="22"/>
      <c r="B13" s="23" t="s">
        <v>20</v>
      </c>
      <c r="C13" s="24" t="s">
        <v>14</v>
      </c>
      <c r="D13" s="17">
        <f t="shared" si="0"/>
        <v>1</v>
      </c>
      <c r="E13" s="24"/>
      <c r="F13" s="25"/>
      <c r="G13" s="24"/>
      <c r="H13" s="25"/>
      <c r="I13" s="24"/>
      <c r="J13" s="25"/>
      <c r="K13" s="26">
        <v>1</v>
      </c>
      <c r="L13" s="19">
        <f>ROUND(102503.43,2)</f>
        <v>102503.43</v>
      </c>
      <c r="M13" s="19">
        <f>ROUND(102.5,2)</f>
        <v>102.5</v>
      </c>
      <c r="N13" s="19">
        <f>ROUND(102400.93,2)</f>
        <v>102400.93</v>
      </c>
      <c r="O13" s="25"/>
      <c r="P13" s="30"/>
      <c r="Q13" s="28"/>
      <c r="R13" s="29"/>
    </row>
    <row r="14" spans="1:18" ht="36" customHeight="1" thickBot="1">
      <c r="A14" s="22"/>
      <c r="B14" s="23" t="s">
        <v>21</v>
      </c>
      <c r="C14" s="17" t="s">
        <v>14</v>
      </c>
      <c r="D14" s="18">
        <f t="shared" si="0"/>
        <v>1</v>
      </c>
      <c r="E14" s="24"/>
      <c r="F14" s="25"/>
      <c r="G14" s="24"/>
      <c r="H14" s="25"/>
      <c r="I14" s="24">
        <v>1</v>
      </c>
      <c r="J14" s="25">
        <f>ROUND(58703.83,2)</f>
        <v>58703.83</v>
      </c>
      <c r="K14" s="26"/>
      <c r="L14" s="25"/>
      <c r="M14" s="19"/>
      <c r="N14" s="19"/>
      <c r="O14" s="25"/>
      <c r="P14" s="31"/>
      <c r="Q14" s="32"/>
      <c r="R14" s="33"/>
    </row>
    <row r="15" spans="1:18" ht="34.5" customHeight="1" thickBot="1">
      <c r="A15" s="22"/>
      <c r="B15" s="23" t="s">
        <v>22</v>
      </c>
      <c r="C15" s="17" t="s">
        <v>14</v>
      </c>
      <c r="D15" s="18">
        <f t="shared" si="0"/>
        <v>1</v>
      </c>
      <c r="E15" s="24"/>
      <c r="F15" s="25"/>
      <c r="G15" s="24"/>
      <c r="H15" s="25"/>
      <c r="I15" s="24">
        <v>1</v>
      </c>
      <c r="J15" s="25">
        <f>ROUND(90086.15,2)</f>
        <v>90086.15</v>
      </c>
      <c r="K15" s="26"/>
      <c r="L15" s="25"/>
      <c r="M15" s="19"/>
      <c r="N15" s="19"/>
      <c r="O15" s="25"/>
      <c r="P15" s="34"/>
      <c r="Q15" s="35"/>
      <c r="R15" s="36"/>
    </row>
    <row r="16" spans="1:18" ht="33" customHeight="1" thickBot="1">
      <c r="A16" s="22"/>
      <c r="B16" s="23" t="s">
        <v>23</v>
      </c>
      <c r="C16" s="17" t="s">
        <v>14</v>
      </c>
      <c r="D16" s="17">
        <f t="shared" si="0"/>
        <v>1</v>
      </c>
      <c r="E16" s="24"/>
      <c r="F16" s="25"/>
      <c r="G16" s="24"/>
      <c r="H16" s="25"/>
      <c r="I16" s="24"/>
      <c r="J16" s="25"/>
      <c r="K16" s="26">
        <v>1</v>
      </c>
      <c r="L16" s="25">
        <f>ROUND(58703.83,2)</f>
        <v>58703.83</v>
      </c>
      <c r="M16" s="19">
        <f>ROUND(58.7,2)</f>
        <v>58.7</v>
      </c>
      <c r="N16" s="19">
        <f>ROUND(58645.13,2)</f>
        <v>58645.13</v>
      </c>
      <c r="O16" s="25"/>
      <c r="P16" s="37"/>
      <c r="Q16" s="38"/>
      <c r="R16" s="38"/>
    </row>
    <row r="17" spans="1:18" ht="58.5" customHeight="1" thickBot="1">
      <c r="A17" s="22"/>
      <c r="B17" s="39" t="s">
        <v>24</v>
      </c>
      <c r="C17" s="17" t="s">
        <v>14</v>
      </c>
      <c r="D17" s="18">
        <f t="shared" si="0"/>
        <v>1</v>
      </c>
      <c r="E17" s="24"/>
      <c r="F17" s="25"/>
      <c r="G17" s="24"/>
      <c r="H17" s="25"/>
      <c r="I17" s="24">
        <v>1</v>
      </c>
      <c r="J17" s="25">
        <f aca="true" t="shared" si="1" ref="J17:J25">ROUND(58703.83,2)</f>
        <v>58703.83</v>
      </c>
      <c r="K17" s="26"/>
      <c r="L17" s="25"/>
      <c r="M17" s="19"/>
      <c r="N17" s="19"/>
      <c r="O17" s="25"/>
      <c r="P17" s="21"/>
      <c r="Q17" s="21"/>
      <c r="R17" s="21"/>
    </row>
    <row r="18" spans="1:18" ht="45.75" customHeight="1" thickBot="1">
      <c r="A18" s="22"/>
      <c r="B18" s="23" t="s">
        <v>25</v>
      </c>
      <c r="C18" s="17" t="s">
        <v>14</v>
      </c>
      <c r="D18" s="18">
        <f t="shared" si="0"/>
        <v>1</v>
      </c>
      <c r="E18" s="24"/>
      <c r="F18" s="25"/>
      <c r="G18" s="24"/>
      <c r="H18" s="25"/>
      <c r="I18" s="24">
        <v>1</v>
      </c>
      <c r="J18" s="25">
        <f t="shared" si="1"/>
        <v>58703.83</v>
      </c>
      <c r="K18" s="26"/>
      <c r="L18" s="25"/>
      <c r="M18" s="19"/>
      <c r="N18" s="19"/>
      <c r="O18" s="25"/>
      <c r="P18" s="31"/>
      <c r="Q18" s="36"/>
      <c r="R18" s="36"/>
    </row>
    <row r="19" spans="1:18" ht="66.75" customHeight="1" thickBot="1">
      <c r="A19" s="22"/>
      <c r="B19" s="39" t="s">
        <v>26</v>
      </c>
      <c r="C19" s="17" t="s">
        <v>14</v>
      </c>
      <c r="D19" s="18">
        <f t="shared" si="0"/>
        <v>1</v>
      </c>
      <c r="E19" s="24"/>
      <c r="F19" s="25"/>
      <c r="G19" s="24"/>
      <c r="H19" s="25"/>
      <c r="I19" s="24">
        <v>1</v>
      </c>
      <c r="J19" s="25">
        <f t="shared" si="1"/>
        <v>58703.83</v>
      </c>
      <c r="K19" s="26"/>
      <c r="L19" s="25"/>
      <c r="M19" s="19"/>
      <c r="N19" s="19"/>
      <c r="O19" s="25"/>
      <c r="P19" s="31"/>
      <c r="Q19" s="36"/>
      <c r="R19" s="36"/>
    </row>
    <row r="20" spans="1:18" ht="39.75" thickBot="1">
      <c r="A20" s="22"/>
      <c r="B20" s="23" t="s">
        <v>27</v>
      </c>
      <c r="C20" s="17" t="s">
        <v>14</v>
      </c>
      <c r="D20" s="18">
        <f t="shared" si="0"/>
        <v>1</v>
      </c>
      <c r="E20" s="24"/>
      <c r="F20" s="25"/>
      <c r="G20" s="24"/>
      <c r="H20" s="25"/>
      <c r="I20" s="24">
        <v>1</v>
      </c>
      <c r="J20" s="25">
        <f t="shared" si="1"/>
        <v>58703.83</v>
      </c>
      <c r="K20" s="26"/>
      <c r="L20" s="25"/>
      <c r="M20" s="19"/>
      <c r="N20" s="19"/>
      <c r="O20" s="25"/>
      <c r="P20" s="31"/>
      <c r="Q20" s="36"/>
      <c r="R20" s="36"/>
    </row>
    <row r="21" spans="1:18" ht="59.25" customHeight="1" thickBot="1">
      <c r="A21" s="22"/>
      <c r="B21" s="23" t="s">
        <v>28</v>
      </c>
      <c r="C21" s="17" t="s">
        <v>14</v>
      </c>
      <c r="D21" s="18">
        <f t="shared" si="0"/>
        <v>1</v>
      </c>
      <c r="E21" s="24"/>
      <c r="F21" s="25"/>
      <c r="G21" s="24"/>
      <c r="H21" s="25"/>
      <c r="I21" s="24">
        <v>1</v>
      </c>
      <c r="J21" s="25">
        <f t="shared" si="1"/>
        <v>58703.83</v>
      </c>
      <c r="K21" s="26"/>
      <c r="L21" s="25"/>
      <c r="M21" s="19"/>
      <c r="N21" s="19"/>
      <c r="O21" s="25"/>
      <c r="P21" s="31"/>
      <c r="Q21" s="36"/>
      <c r="R21" s="36"/>
    </row>
    <row r="22" spans="1:18" ht="48.75" customHeight="1" thickBot="1">
      <c r="A22" s="22"/>
      <c r="B22" s="23" t="s">
        <v>29</v>
      </c>
      <c r="C22" s="17" t="s">
        <v>14</v>
      </c>
      <c r="D22" s="18">
        <f t="shared" si="0"/>
        <v>1</v>
      </c>
      <c r="E22" s="24"/>
      <c r="F22" s="25"/>
      <c r="G22" s="24"/>
      <c r="H22" s="25"/>
      <c r="I22" s="24">
        <v>1</v>
      </c>
      <c r="J22" s="25">
        <f t="shared" si="1"/>
        <v>58703.83</v>
      </c>
      <c r="K22" s="26"/>
      <c r="L22" s="25"/>
      <c r="M22" s="19"/>
      <c r="N22" s="19"/>
      <c r="O22" s="25"/>
      <c r="P22" s="31"/>
      <c r="Q22" s="36"/>
      <c r="R22" s="36"/>
    </row>
    <row r="23" spans="1:18" ht="63" customHeight="1" thickBot="1">
      <c r="A23" s="22"/>
      <c r="B23" s="39" t="s">
        <v>30</v>
      </c>
      <c r="C23" s="17" t="s">
        <v>14</v>
      </c>
      <c r="D23" s="18">
        <f t="shared" si="0"/>
        <v>1</v>
      </c>
      <c r="E23" s="24"/>
      <c r="F23" s="25"/>
      <c r="G23" s="24"/>
      <c r="H23" s="25"/>
      <c r="I23" s="24">
        <v>1</v>
      </c>
      <c r="J23" s="25">
        <f t="shared" si="1"/>
        <v>58703.83</v>
      </c>
      <c r="K23" s="26"/>
      <c r="L23" s="25"/>
      <c r="M23" s="19"/>
      <c r="N23" s="19"/>
      <c r="O23" s="25"/>
      <c r="P23" s="31"/>
      <c r="Q23" s="36"/>
      <c r="R23" s="36"/>
    </row>
    <row r="24" spans="1:18" ht="42.75" customHeight="1" thickBot="1">
      <c r="A24" s="22"/>
      <c r="B24" s="23" t="s">
        <v>31</v>
      </c>
      <c r="C24" s="17" t="s">
        <v>14</v>
      </c>
      <c r="D24" s="18">
        <f t="shared" si="0"/>
        <v>1</v>
      </c>
      <c r="E24" s="24"/>
      <c r="F24" s="25"/>
      <c r="G24" s="24"/>
      <c r="H24" s="25"/>
      <c r="I24" s="24">
        <v>1</v>
      </c>
      <c r="J24" s="25">
        <f t="shared" si="1"/>
        <v>58703.83</v>
      </c>
      <c r="K24" s="26"/>
      <c r="L24" s="25"/>
      <c r="M24" s="19"/>
      <c r="N24" s="19"/>
      <c r="O24" s="25"/>
      <c r="P24" s="31"/>
      <c r="Q24" s="36"/>
      <c r="R24" s="36"/>
    </row>
    <row r="25" spans="1:18" ht="66" customHeight="1" thickBot="1">
      <c r="A25" s="22"/>
      <c r="B25" s="39" t="s">
        <v>32</v>
      </c>
      <c r="C25" s="17" t="s">
        <v>14</v>
      </c>
      <c r="D25" s="18">
        <f t="shared" si="0"/>
        <v>1</v>
      </c>
      <c r="E25" s="24"/>
      <c r="F25" s="25"/>
      <c r="G25" s="24"/>
      <c r="H25" s="25"/>
      <c r="I25" s="24">
        <v>1</v>
      </c>
      <c r="J25" s="25">
        <f t="shared" si="1"/>
        <v>58703.83</v>
      </c>
      <c r="K25" s="26"/>
      <c r="L25" s="25"/>
      <c r="M25" s="19"/>
      <c r="N25" s="19"/>
      <c r="O25" s="25"/>
      <c r="P25" s="31"/>
      <c r="Q25" s="36"/>
      <c r="R25" s="36"/>
    </row>
    <row r="26" spans="1:18" ht="19.5" customHeight="1" thickBot="1">
      <c r="A26" s="22"/>
      <c r="B26" s="23" t="s">
        <v>33</v>
      </c>
      <c r="C26" s="17" t="s">
        <v>14</v>
      </c>
      <c r="D26" s="18">
        <f t="shared" si="0"/>
        <v>2</v>
      </c>
      <c r="E26" s="24"/>
      <c r="F26" s="25"/>
      <c r="G26" s="24"/>
      <c r="H26" s="25"/>
      <c r="I26" s="24">
        <v>2</v>
      </c>
      <c r="J26" s="25">
        <v>60060.35</v>
      </c>
      <c r="K26" s="26"/>
      <c r="L26" s="25"/>
      <c r="M26" s="19"/>
      <c r="N26" s="19"/>
      <c r="O26" s="25"/>
      <c r="P26" s="31"/>
      <c r="Q26" s="36"/>
      <c r="R26" s="36"/>
    </row>
    <row r="27" spans="1:18" ht="48.75" customHeight="1" thickBot="1">
      <c r="A27" s="22"/>
      <c r="B27" s="23" t="s">
        <v>34</v>
      </c>
      <c r="C27" s="17" t="s">
        <v>14</v>
      </c>
      <c r="D27" s="18">
        <f t="shared" si="0"/>
        <v>1</v>
      </c>
      <c r="E27" s="24"/>
      <c r="F27" s="25"/>
      <c r="G27" s="24"/>
      <c r="H27" s="25"/>
      <c r="I27" s="24">
        <v>1</v>
      </c>
      <c r="J27" s="25">
        <f>ROUND(58703.83,2)</f>
        <v>58703.83</v>
      </c>
      <c r="K27" s="26"/>
      <c r="L27" s="25"/>
      <c r="M27" s="19"/>
      <c r="N27" s="19"/>
      <c r="O27" s="25"/>
      <c r="P27" s="31"/>
      <c r="Q27" s="36"/>
      <c r="R27" s="36"/>
    </row>
    <row r="28" spans="1:18" ht="47.25" customHeight="1" thickBot="1">
      <c r="A28" s="22"/>
      <c r="B28" s="23" t="s">
        <v>35</v>
      </c>
      <c r="C28" s="17" t="s">
        <v>14</v>
      </c>
      <c r="D28" s="17">
        <f t="shared" si="0"/>
        <v>1</v>
      </c>
      <c r="E28" s="24"/>
      <c r="F28" s="25"/>
      <c r="G28" s="24"/>
      <c r="H28" s="25"/>
      <c r="I28" s="24"/>
      <c r="J28" s="25"/>
      <c r="K28" s="26">
        <v>1</v>
      </c>
      <c r="L28" s="25">
        <f>ROUND(58703.83,2)</f>
        <v>58703.83</v>
      </c>
      <c r="M28" s="19">
        <f>ROUND(58.7,2)</f>
        <v>58.7</v>
      </c>
      <c r="N28" s="19">
        <f>ROUND(58645.13,2)</f>
        <v>58645.13</v>
      </c>
      <c r="O28" s="25"/>
      <c r="P28" s="37"/>
      <c r="Q28" s="38"/>
      <c r="R28" s="38"/>
    </row>
    <row r="29" spans="1:18" ht="36" customHeight="1" thickBot="1">
      <c r="A29" s="22"/>
      <c r="B29" s="23" t="s">
        <v>36</v>
      </c>
      <c r="C29" s="17" t="s">
        <v>14</v>
      </c>
      <c r="D29" s="17">
        <f t="shared" si="0"/>
        <v>1</v>
      </c>
      <c r="E29" s="24"/>
      <c r="F29" s="25"/>
      <c r="G29" s="24"/>
      <c r="H29" s="25"/>
      <c r="I29" s="24"/>
      <c r="J29" s="25"/>
      <c r="K29" s="26">
        <v>1</v>
      </c>
      <c r="L29" s="25">
        <f>ROUND(92799.19,2)</f>
        <v>92799.19</v>
      </c>
      <c r="M29" s="25">
        <f>ROUND(92.8,2)</f>
        <v>92.8</v>
      </c>
      <c r="N29" s="25">
        <f>ROUND(92706.39,2)</f>
        <v>92706.39</v>
      </c>
      <c r="O29" s="25"/>
      <c r="P29" s="40"/>
      <c r="Q29" s="41"/>
      <c r="R29" s="41"/>
    </row>
    <row r="30" spans="1:18" ht="33.75" customHeight="1" thickBot="1">
      <c r="A30" s="22"/>
      <c r="B30" s="23" t="s">
        <v>37</v>
      </c>
      <c r="C30" s="17" t="s">
        <v>14</v>
      </c>
      <c r="D30" s="17">
        <f t="shared" si="0"/>
        <v>1</v>
      </c>
      <c r="E30" s="24"/>
      <c r="F30" s="25"/>
      <c r="G30" s="24"/>
      <c r="H30" s="25"/>
      <c r="I30" s="24"/>
      <c r="J30" s="25"/>
      <c r="K30" s="26">
        <v>1</v>
      </c>
      <c r="L30" s="25">
        <f>ROUND(109955.55,2)</f>
        <v>109955.55</v>
      </c>
      <c r="M30" s="25">
        <f>ROUND(109.96,2)</f>
        <v>109.96</v>
      </c>
      <c r="N30" s="25">
        <f>ROUND(109845.59,2)</f>
        <v>109845.59</v>
      </c>
      <c r="O30" s="25"/>
      <c r="P30" s="40"/>
      <c r="Q30" s="41"/>
      <c r="R30" s="41"/>
    </row>
    <row r="31" spans="1:18" ht="30.75" customHeight="1" thickBot="1">
      <c r="A31" s="22"/>
      <c r="B31" s="23" t="s">
        <v>38</v>
      </c>
      <c r="C31" s="17" t="s">
        <v>14</v>
      </c>
      <c r="D31" s="17">
        <f t="shared" si="0"/>
        <v>1</v>
      </c>
      <c r="E31" s="24"/>
      <c r="F31" s="25"/>
      <c r="G31" s="24"/>
      <c r="H31" s="25"/>
      <c r="I31" s="24"/>
      <c r="J31" s="25"/>
      <c r="K31" s="26">
        <v>1</v>
      </c>
      <c r="L31" s="25">
        <f>ROUND(98442.61,2)</f>
        <v>98442.61</v>
      </c>
      <c r="M31" s="25">
        <f>ROUND(98.44,2)</f>
        <v>98.44</v>
      </c>
      <c r="N31" s="25">
        <f>ROUND(98344.17,2)</f>
        <v>98344.17</v>
      </c>
      <c r="O31" s="25"/>
      <c r="P31" s="40"/>
      <c r="Q31" s="41"/>
      <c r="R31" s="41"/>
    </row>
    <row r="32" spans="1:18" ht="34.5" customHeight="1" thickBot="1">
      <c r="A32" s="22"/>
      <c r="B32" s="23" t="s">
        <v>39</v>
      </c>
      <c r="C32" s="17" t="s">
        <v>14</v>
      </c>
      <c r="D32" s="17">
        <f t="shared" si="0"/>
        <v>1</v>
      </c>
      <c r="E32" s="24"/>
      <c r="F32" s="25"/>
      <c r="G32" s="24"/>
      <c r="H32" s="25"/>
      <c r="I32" s="24"/>
      <c r="J32" s="25"/>
      <c r="K32" s="26">
        <v>1</v>
      </c>
      <c r="L32" s="25">
        <f>ROUND(88286.2,2)</f>
        <v>88286.2</v>
      </c>
      <c r="M32" s="25">
        <f>ROUND(88.29,2)</f>
        <v>88.29</v>
      </c>
      <c r="N32" s="25">
        <f>ROUND(88197.91,2)</f>
        <v>88197.91</v>
      </c>
      <c r="O32" s="25"/>
      <c r="P32" s="40"/>
      <c r="Q32" s="41"/>
      <c r="R32" s="41"/>
    </row>
    <row r="33" spans="1:18" ht="35.25" customHeight="1" thickBot="1">
      <c r="A33" s="22"/>
      <c r="B33" s="23" t="s">
        <v>40</v>
      </c>
      <c r="C33" s="17" t="s">
        <v>14</v>
      </c>
      <c r="D33" s="17">
        <f t="shared" si="0"/>
        <v>1</v>
      </c>
      <c r="E33" s="24"/>
      <c r="F33" s="25"/>
      <c r="G33" s="24"/>
      <c r="H33" s="25"/>
      <c r="I33" s="24"/>
      <c r="J33" s="25"/>
      <c r="K33" s="26">
        <v>1</v>
      </c>
      <c r="L33" s="25">
        <f>ROUND(58703.83,2)</f>
        <v>58703.83</v>
      </c>
      <c r="M33" s="19">
        <f>ROUND(58.7,2)</f>
        <v>58.7</v>
      </c>
      <c r="N33" s="19">
        <f>ROUND(58645.13,2)</f>
        <v>58645.13</v>
      </c>
      <c r="O33" s="25"/>
      <c r="P33" s="40"/>
      <c r="Q33" s="41"/>
      <c r="R33" s="41"/>
    </row>
    <row r="34" spans="1:18" ht="28.5" customHeight="1" thickBot="1">
      <c r="A34" s="22" t="s">
        <v>41</v>
      </c>
      <c r="B34" s="42" t="s">
        <v>144</v>
      </c>
      <c r="C34" s="17" t="s">
        <v>14</v>
      </c>
      <c r="D34" s="17">
        <f t="shared" si="0"/>
        <v>1</v>
      </c>
      <c r="E34" s="24"/>
      <c r="F34" s="25"/>
      <c r="G34" s="24"/>
      <c r="H34" s="25"/>
      <c r="I34" s="24"/>
      <c r="J34" s="25"/>
      <c r="K34" s="26">
        <v>1</v>
      </c>
      <c r="L34" s="25">
        <f>ROUND(58703.83,2)</f>
        <v>58703.83</v>
      </c>
      <c r="M34" s="19">
        <f>ROUND(58.7,2)</f>
        <v>58.7</v>
      </c>
      <c r="N34" s="19">
        <f>ROUND(58645.13,2)</f>
        <v>58645.13</v>
      </c>
      <c r="O34" s="25"/>
      <c r="P34" s="37"/>
      <c r="Q34" s="38"/>
      <c r="R34" s="38"/>
    </row>
    <row r="35" spans="1:18" ht="27" thickBot="1">
      <c r="A35" s="43"/>
      <c r="B35" s="44" t="s">
        <v>42</v>
      </c>
      <c r="C35" s="17" t="s">
        <v>14</v>
      </c>
      <c r="D35" s="17">
        <f t="shared" si="0"/>
        <v>1</v>
      </c>
      <c r="E35" s="24"/>
      <c r="F35" s="25"/>
      <c r="G35" s="24"/>
      <c r="H35" s="25"/>
      <c r="I35" s="24"/>
      <c r="J35" s="25"/>
      <c r="K35" s="26">
        <v>1</v>
      </c>
      <c r="L35" s="25">
        <f>ROUND(58703.83,2)</f>
        <v>58703.83</v>
      </c>
      <c r="M35" s="19">
        <f>ROUND(58.7,2)</f>
        <v>58.7</v>
      </c>
      <c r="N35" s="19">
        <f>ROUND(58645.13,2)</f>
        <v>58645.13</v>
      </c>
      <c r="O35" s="25"/>
      <c r="P35" s="37"/>
      <c r="Q35" s="38"/>
      <c r="R35" s="38"/>
    </row>
    <row r="36" spans="1:18" ht="13.5" thickBot="1">
      <c r="A36" s="22" t="s">
        <v>43</v>
      </c>
      <c r="B36" s="45" t="s">
        <v>44</v>
      </c>
      <c r="C36" s="24" t="s">
        <v>14</v>
      </c>
      <c r="D36" s="17">
        <f>D37+D38+D39+D40+D47+D48+D49+D50</f>
        <v>16</v>
      </c>
      <c r="E36" s="24"/>
      <c r="F36" s="25"/>
      <c r="G36" s="24"/>
      <c r="H36" s="25"/>
      <c r="I36" s="24"/>
      <c r="J36" s="25"/>
      <c r="K36" s="26">
        <v>16</v>
      </c>
      <c r="L36" s="25">
        <f>ROUND(SUM(L37:L50),2)</f>
        <v>481821.85</v>
      </c>
      <c r="M36" s="25">
        <f>ROUND(SUM(M37:M50),2)</f>
        <v>481.8</v>
      </c>
      <c r="N36" s="25">
        <f>ROUND(SUM(N37:N50),2)</f>
        <v>481340.05</v>
      </c>
      <c r="O36" s="25"/>
      <c r="P36" s="37"/>
      <c r="Q36" s="38"/>
      <c r="R36" s="38"/>
    </row>
    <row r="37" spans="1:18" ht="27" thickBot="1">
      <c r="A37" s="22"/>
      <c r="B37" s="45" t="s">
        <v>45</v>
      </c>
      <c r="C37" s="24" t="s">
        <v>14</v>
      </c>
      <c r="D37" s="17">
        <f t="shared" si="0"/>
        <v>4</v>
      </c>
      <c r="E37" s="24"/>
      <c r="F37" s="25"/>
      <c r="G37" s="24"/>
      <c r="H37" s="25"/>
      <c r="I37" s="24"/>
      <c r="J37" s="25"/>
      <c r="K37" s="26">
        <v>4</v>
      </c>
      <c r="L37" s="25">
        <f>ROUND(63442.91,2)</f>
        <v>63442.91</v>
      </c>
      <c r="M37" s="19">
        <f>ROUND(63.44,2)</f>
        <v>63.44</v>
      </c>
      <c r="N37" s="19">
        <f>ROUND(63379.47,2)</f>
        <v>63379.47</v>
      </c>
      <c r="O37" s="25"/>
      <c r="P37" s="37"/>
      <c r="Q37" s="38"/>
      <c r="R37" s="38"/>
    </row>
    <row r="38" spans="1:18" ht="13.5" thickBot="1">
      <c r="A38" s="22"/>
      <c r="B38" s="44" t="s">
        <v>33</v>
      </c>
      <c r="C38" s="24" t="s">
        <v>14</v>
      </c>
      <c r="D38" s="24">
        <f t="shared" si="0"/>
        <v>1</v>
      </c>
      <c r="E38" s="24"/>
      <c r="F38" s="25"/>
      <c r="G38" s="24"/>
      <c r="H38" s="25"/>
      <c r="I38" s="24"/>
      <c r="J38" s="25"/>
      <c r="K38" s="26">
        <v>1</v>
      </c>
      <c r="L38" s="25">
        <f>ROUND(58703.83,2)</f>
        <v>58703.83</v>
      </c>
      <c r="M38" s="19">
        <f>ROUND(58.7,2)</f>
        <v>58.7</v>
      </c>
      <c r="N38" s="19">
        <f>ROUND(58645.13,2)</f>
        <v>58645.13</v>
      </c>
      <c r="O38" s="25"/>
      <c r="P38" s="40"/>
      <c r="Q38" s="41"/>
      <c r="R38" s="41"/>
    </row>
    <row r="39" spans="1:18" ht="13.5" thickBot="1">
      <c r="A39" s="22"/>
      <c r="B39" s="44" t="s">
        <v>46</v>
      </c>
      <c r="C39" s="24" t="s">
        <v>14</v>
      </c>
      <c r="D39" s="24">
        <f t="shared" si="0"/>
        <v>1</v>
      </c>
      <c r="E39" s="24"/>
      <c r="F39" s="25"/>
      <c r="G39" s="24"/>
      <c r="H39" s="25"/>
      <c r="I39" s="24"/>
      <c r="J39" s="25"/>
      <c r="K39" s="26">
        <v>1</v>
      </c>
      <c r="L39" s="25">
        <f>ROUND(58703.83,2)</f>
        <v>58703.83</v>
      </c>
      <c r="M39" s="19">
        <f>ROUND(58.7,2)</f>
        <v>58.7</v>
      </c>
      <c r="N39" s="19">
        <f>ROUND(58645.13,2)</f>
        <v>58645.13</v>
      </c>
      <c r="O39" s="25"/>
      <c r="P39" s="40"/>
      <c r="Q39" s="41"/>
      <c r="R39" s="41"/>
    </row>
    <row r="40" spans="1:18" ht="27" thickBot="1">
      <c r="A40" s="22"/>
      <c r="B40" s="44" t="s">
        <v>47</v>
      </c>
      <c r="C40" s="24" t="s">
        <v>14</v>
      </c>
      <c r="D40" s="24">
        <f>E40+G40+I40+K40</f>
        <v>6</v>
      </c>
      <c r="E40" s="24"/>
      <c r="F40" s="25"/>
      <c r="G40" s="24"/>
      <c r="H40" s="25"/>
      <c r="I40" s="24"/>
      <c r="J40" s="25"/>
      <c r="K40" s="26">
        <v>6</v>
      </c>
      <c r="L40" s="25">
        <f>ROUND(66155.96,2)</f>
        <v>66155.96</v>
      </c>
      <c r="M40" s="25">
        <f>ROUND(66.16,2)</f>
        <v>66.16</v>
      </c>
      <c r="N40" s="25">
        <f>ROUND(66089.8,2)</f>
        <v>66089.8</v>
      </c>
      <c r="O40" s="25"/>
      <c r="P40" s="40"/>
      <c r="Q40" s="41"/>
      <c r="R40" s="41"/>
    </row>
    <row r="41" spans="1:18" ht="13.5" thickBot="1">
      <c r="A41" s="22"/>
      <c r="B41" s="44" t="s">
        <v>48</v>
      </c>
      <c r="C41" s="24" t="s">
        <v>14</v>
      </c>
      <c r="D41" s="24">
        <f t="shared" si="0"/>
        <v>1</v>
      </c>
      <c r="E41" s="24"/>
      <c r="F41" s="25"/>
      <c r="G41" s="24"/>
      <c r="H41" s="25"/>
      <c r="I41" s="24"/>
      <c r="J41" s="25"/>
      <c r="K41" s="26">
        <v>1</v>
      </c>
      <c r="L41" s="19"/>
      <c r="M41" s="19"/>
      <c r="N41" s="19"/>
      <c r="O41" s="25"/>
      <c r="P41" s="40"/>
      <c r="Q41" s="41"/>
      <c r="R41" s="41"/>
    </row>
    <row r="42" spans="1:18" ht="13.5" thickBot="1">
      <c r="A42" s="22"/>
      <c r="B42" s="44" t="s">
        <v>49</v>
      </c>
      <c r="C42" s="24" t="s">
        <v>14</v>
      </c>
      <c r="D42" s="24">
        <f t="shared" si="0"/>
        <v>1</v>
      </c>
      <c r="E42" s="24"/>
      <c r="F42" s="25"/>
      <c r="G42" s="24"/>
      <c r="H42" s="25"/>
      <c r="I42" s="24"/>
      <c r="J42" s="25"/>
      <c r="K42" s="26">
        <v>1</v>
      </c>
      <c r="L42" s="19"/>
      <c r="M42" s="19"/>
      <c r="N42" s="19"/>
      <c r="O42" s="25"/>
      <c r="P42" s="40"/>
      <c r="Q42" s="41"/>
      <c r="R42" s="41"/>
    </row>
    <row r="43" spans="1:18" ht="13.5" thickBot="1">
      <c r="A43" s="22"/>
      <c r="B43" s="44" t="s">
        <v>50</v>
      </c>
      <c r="C43" s="24" t="s">
        <v>14</v>
      </c>
      <c r="D43" s="24">
        <f t="shared" si="0"/>
        <v>1</v>
      </c>
      <c r="E43" s="24"/>
      <c r="F43" s="25"/>
      <c r="G43" s="24"/>
      <c r="H43" s="25"/>
      <c r="I43" s="24"/>
      <c r="J43" s="25"/>
      <c r="K43" s="26">
        <v>1</v>
      </c>
      <c r="L43" s="19"/>
      <c r="M43" s="19"/>
      <c r="N43" s="19"/>
      <c r="O43" s="25"/>
      <c r="P43" s="40"/>
      <c r="Q43" s="41"/>
      <c r="R43" s="41"/>
    </row>
    <row r="44" spans="1:18" ht="13.5" thickBot="1">
      <c r="A44" s="22"/>
      <c r="B44" s="44" t="s">
        <v>51</v>
      </c>
      <c r="C44" s="24" t="s">
        <v>14</v>
      </c>
      <c r="D44" s="24">
        <f t="shared" si="0"/>
        <v>1</v>
      </c>
      <c r="E44" s="24"/>
      <c r="F44" s="25"/>
      <c r="G44" s="24"/>
      <c r="H44" s="25"/>
      <c r="I44" s="24"/>
      <c r="J44" s="25"/>
      <c r="K44" s="26">
        <v>1</v>
      </c>
      <c r="L44" s="19"/>
      <c r="M44" s="19"/>
      <c r="N44" s="19"/>
      <c r="O44" s="25"/>
      <c r="P44" s="40"/>
      <c r="Q44" s="41"/>
      <c r="R44" s="41"/>
    </row>
    <row r="45" spans="1:18" ht="13.5" thickBot="1">
      <c r="A45" s="22"/>
      <c r="B45" s="44" t="s">
        <v>52</v>
      </c>
      <c r="C45" s="24" t="s">
        <v>14</v>
      </c>
      <c r="D45" s="24">
        <f t="shared" si="0"/>
        <v>1</v>
      </c>
      <c r="E45" s="24"/>
      <c r="F45" s="25"/>
      <c r="G45" s="24"/>
      <c r="H45" s="25"/>
      <c r="I45" s="24"/>
      <c r="J45" s="25"/>
      <c r="K45" s="26">
        <v>1</v>
      </c>
      <c r="L45" s="19"/>
      <c r="M45" s="19"/>
      <c r="N45" s="19"/>
      <c r="O45" s="25"/>
      <c r="P45" s="40"/>
      <c r="Q45" s="41"/>
      <c r="R45" s="41"/>
    </row>
    <row r="46" spans="1:18" ht="13.5" thickBot="1">
      <c r="A46" s="22"/>
      <c r="B46" s="44" t="s">
        <v>53</v>
      </c>
      <c r="C46" s="24" t="s">
        <v>14</v>
      </c>
      <c r="D46" s="24">
        <f t="shared" si="0"/>
        <v>1</v>
      </c>
      <c r="E46" s="24"/>
      <c r="F46" s="25"/>
      <c r="G46" s="24"/>
      <c r="H46" s="25"/>
      <c r="I46" s="24"/>
      <c r="J46" s="25"/>
      <c r="K46" s="26">
        <v>1</v>
      </c>
      <c r="L46" s="19"/>
      <c r="M46" s="19"/>
      <c r="N46" s="19"/>
      <c r="O46" s="25"/>
      <c r="P46" s="40"/>
      <c r="Q46" s="41"/>
      <c r="R46" s="41"/>
    </row>
    <row r="47" spans="1:18" ht="13.5" thickBot="1">
      <c r="A47" s="22"/>
      <c r="B47" s="44" t="s">
        <v>54</v>
      </c>
      <c r="C47" s="24" t="s">
        <v>14</v>
      </c>
      <c r="D47" s="24">
        <f t="shared" si="0"/>
        <v>1</v>
      </c>
      <c r="E47" s="24"/>
      <c r="F47" s="25"/>
      <c r="G47" s="24"/>
      <c r="H47" s="25"/>
      <c r="I47" s="24"/>
      <c r="J47" s="25"/>
      <c r="K47" s="26">
        <v>1</v>
      </c>
      <c r="L47" s="25">
        <f aca="true" t="shared" si="2" ref="L47:L52">ROUND(58703.83,2)</f>
        <v>58703.83</v>
      </c>
      <c r="M47" s="19">
        <f>ROUND(58.7,2)</f>
        <v>58.7</v>
      </c>
      <c r="N47" s="19">
        <f>ROUND(58645.13,2)</f>
        <v>58645.13</v>
      </c>
      <c r="O47" s="25"/>
      <c r="P47" s="40"/>
      <c r="Q47" s="41"/>
      <c r="R47" s="41"/>
    </row>
    <row r="48" spans="1:18" ht="13.5" thickBot="1">
      <c r="A48" s="22"/>
      <c r="B48" s="44" t="s">
        <v>55</v>
      </c>
      <c r="C48" s="24" t="s">
        <v>14</v>
      </c>
      <c r="D48" s="24">
        <f t="shared" si="0"/>
        <v>1</v>
      </c>
      <c r="E48" s="24"/>
      <c r="F48" s="25"/>
      <c r="G48" s="24"/>
      <c r="H48" s="25"/>
      <c r="I48" s="24"/>
      <c r="J48" s="25"/>
      <c r="K48" s="26">
        <v>1</v>
      </c>
      <c r="L48" s="25">
        <f t="shared" si="2"/>
        <v>58703.83</v>
      </c>
      <c r="M48" s="19">
        <f>ROUND(58.7,2)</f>
        <v>58.7</v>
      </c>
      <c r="N48" s="19">
        <f>ROUND(58645.13,2)</f>
        <v>58645.13</v>
      </c>
      <c r="O48" s="25"/>
      <c r="P48" s="40"/>
      <c r="Q48" s="41"/>
      <c r="R48" s="41"/>
    </row>
    <row r="49" spans="1:18" ht="27" thickBot="1">
      <c r="A49" s="22"/>
      <c r="B49" s="44" t="s">
        <v>56</v>
      </c>
      <c r="C49" s="24" t="s">
        <v>14</v>
      </c>
      <c r="D49" s="24">
        <f t="shared" si="0"/>
        <v>1</v>
      </c>
      <c r="E49" s="24"/>
      <c r="F49" s="25"/>
      <c r="G49" s="24"/>
      <c r="H49" s="25"/>
      <c r="I49" s="24"/>
      <c r="J49" s="25"/>
      <c r="K49" s="26">
        <v>1</v>
      </c>
      <c r="L49" s="25">
        <f t="shared" si="2"/>
        <v>58703.83</v>
      </c>
      <c r="M49" s="19">
        <f>ROUND(58.7,2)</f>
        <v>58.7</v>
      </c>
      <c r="N49" s="19">
        <f>ROUND(58645.13,2)</f>
        <v>58645.13</v>
      </c>
      <c r="O49" s="25"/>
      <c r="P49" s="40"/>
      <c r="Q49" s="41"/>
      <c r="R49" s="41"/>
    </row>
    <row r="50" spans="1:18" ht="27" thickBot="1">
      <c r="A50" s="22"/>
      <c r="B50" s="44" t="s">
        <v>57</v>
      </c>
      <c r="C50" s="24" t="s">
        <v>14</v>
      </c>
      <c r="D50" s="24">
        <f t="shared" si="0"/>
        <v>1</v>
      </c>
      <c r="E50" s="24"/>
      <c r="F50" s="25"/>
      <c r="G50" s="24"/>
      <c r="H50" s="25"/>
      <c r="I50" s="24"/>
      <c r="J50" s="25"/>
      <c r="K50" s="26">
        <v>1</v>
      </c>
      <c r="L50" s="25">
        <f t="shared" si="2"/>
        <v>58703.83</v>
      </c>
      <c r="M50" s="19">
        <f>ROUND(58.7,2)</f>
        <v>58.7</v>
      </c>
      <c r="N50" s="19">
        <f>ROUND(58645.13,2)</f>
        <v>58645.13</v>
      </c>
      <c r="O50" s="25"/>
      <c r="P50" s="40"/>
      <c r="Q50" s="41"/>
      <c r="R50" s="41"/>
    </row>
    <row r="51" spans="1:18" ht="27" thickBot="1">
      <c r="A51" s="22" t="s">
        <v>58</v>
      </c>
      <c r="B51" s="45" t="s">
        <v>59</v>
      </c>
      <c r="C51" s="24" t="s">
        <v>14</v>
      </c>
      <c r="D51" s="17">
        <f t="shared" si="0"/>
        <v>1</v>
      </c>
      <c r="E51" s="24"/>
      <c r="F51" s="25"/>
      <c r="G51" s="24"/>
      <c r="H51" s="25"/>
      <c r="I51" s="24"/>
      <c r="J51" s="25"/>
      <c r="K51" s="26">
        <v>1</v>
      </c>
      <c r="L51" s="25">
        <f t="shared" si="2"/>
        <v>58703.83</v>
      </c>
      <c r="M51" s="19">
        <f>ROUND(58.65,2)</f>
        <v>58.65</v>
      </c>
      <c r="N51" s="19">
        <f>ROUND(58645.18,2)</f>
        <v>58645.18</v>
      </c>
      <c r="O51" s="25"/>
      <c r="P51" s="37"/>
      <c r="Q51" s="38"/>
      <c r="R51" s="38"/>
    </row>
    <row r="52" spans="1:18" ht="13.5" thickBot="1">
      <c r="A52" s="22"/>
      <c r="B52" s="45" t="s">
        <v>60</v>
      </c>
      <c r="C52" s="24" t="s">
        <v>14</v>
      </c>
      <c r="D52" s="17">
        <f t="shared" si="0"/>
        <v>1</v>
      </c>
      <c r="E52" s="24"/>
      <c r="F52" s="25"/>
      <c r="G52" s="24"/>
      <c r="H52" s="25"/>
      <c r="I52" s="24"/>
      <c r="J52" s="25"/>
      <c r="K52" s="26">
        <v>1</v>
      </c>
      <c r="L52" s="25">
        <f t="shared" si="2"/>
        <v>58703.83</v>
      </c>
      <c r="M52" s="19">
        <f>ROUND(58.65,2)</f>
        <v>58.65</v>
      </c>
      <c r="N52" s="19">
        <f>ROUND(58645.18,2)</f>
        <v>58645.18</v>
      </c>
      <c r="O52" s="25"/>
      <c r="P52" s="37"/>
      <c r="Q52" s="38"/>
      <c r="R52" s="38"/>
    </row>
    <row r="53" spans="1:18" ht="13.5" thickBot="1">
      <c r="A53" s="22" t="s">
        <v>61</v>
      </c>
      <c r="B53" s="45" t="s">
        <v>62</v>
      </c>
      <c r="C53" s="24" t="s">
        <v>14</v>
      </c>
      <c r="D53" s="18">
        <f t="shared" si="0"/>
        <v>2</v>
      </c>
      <c r="E53" s="24"/>
      <c r="F53" s="25"/>
      <c r="G53" s="24"/>
      <c r="H53" s="25"/>
      <c r="I53" s="24">
        <v>2</v>
      </c>
      <c r="J53" s="25">
        <f>ROUND(60060.35,2)</f>
        <v>60060.35</v>
      </c>
      <c r="K53" s="26"/>
      <c r="L53" s="25"/>
      <c r="M53" s="25"/>
      <c r="N53" s="25"/>
      <c r="O53" s="25"/>
      <c r="P53" s="46"/>
      <c r="Q53" s="47"/>
      <c r="R53" s="47"/>
    </row>
    <row r="54" spans="1:18" ht="27" thickBot="1">
      <c r="A54" s="22"/>
      <c r="B54" s="45" t="s">
        <v>63</v>
      </c>
      <c r="C54" s="24" t="s">
        <v>14</v>
      </c>
      <c r="D54" s="18">
        <f t="shared" si="0"/>
        <v>2</v>
      </c>
      <c r="E54" s="24"/>
      <c r="F54" s="25"/>
      <c r="G54" s="24"/>
      <c r="H54" s="25"/>
      <c r="I54" s="24">
        <v>2</v>
      </c>
      <c r="J54" s="25">
        <f>ROUND(60060.35,2)</f>
        <v>60060.35</v>
      </c>
      <c r="K54" s="26"/>
      <c r="L54" s="25"/>
      <c r="M54" s="19"/>
      <c r="N54" s="19"/>
      <c r="O54" s="25"/>
      <c r="P54" s="31"/>
      <c r="Q54" s="36"/>
      <c r="R54" s="36"/>
    </row>
    <row r="55" spans="1:18" ht="27" thickBot="1">
      <c r="A55" s="22" t="s">
        <v>64</v>
      </c>
      <c r="B55" s="45" t="s">
        <v>65</v>
      </c>
      <c r="C55" s="24" t="s">
        <v>14</v>
      </c>
      <c r="D55" s="18">
        <f t="shared" si="0"/>
        <v>19</v>
      </c>
      <c r="E55" s="24"/>
      <c r="F55" s="25"/>
      <c r="G55" s="24"/>
      <c r="H55" s="25"/>
      <c r="I55" s="24">
        <v>3</v>
      </c>
      <c r="J55" s="25">
        <f>ROUND(61190.77,2)</f>
        <v>61190.77</v>
      </c>
      <c r="K55" s="26">
        <v>16</v>
      </c>
      <c r="L55" s="25">
        <f>ROUND(614785.81,2)</f>
        <v>614785.81</v>
      </c>
      <c r="M55" s="25">
        <f>ROUND(614.79,2)</f>
        <v>614.79</v>
      </c>
      <c r="N55" s="25">
        <f>ROUND(614171.02,2)</f>
        <v>614171.02</v>
      </c>
      <c r="O55" s="25"/>
      <c r="P55" s="31"/>
      <c r="Q55" s="36"/>
      <c r="R55" s="36"/>
    </row>
    <row r="56" spans="1:18" ht="13.5" thickBot="1">
      <c r="A56" s="22"/>
      <c r="B56" s="45" t="s">
        <v>66</v>
      </c>
      <c r="C56" s="24" t="s">
        <v>14</v>
      </c>
      <c r="D56" s="24">
        <f t="shared" si="0"/>
        <v>1</v>
      </c>
      <c r="E56" s="24"/>
      <c r="F56" s="25"/>
      <c r="G56" s="24"/>
      <c r="H56" s="25"/>
      <c r="I56" s="24"/>
      <c r="J56" s="25"/>
      <c r="K56" s="26">
        <v>1</v>
      </c>
      <c r="L56" s="25"/>
      <c r="M56" s="19"/>
      <c r="N56" s="25"/>
      <c r="O56" s="25"/>
      <c r="P56" s="40"/>
      <c r="Q56" s="41"/>
      <c r="R56" s="41"/>
    </row>
    <row r="57" spans="1:18" ht="13.5" thickBot="1">
      <c r="A57" s="22"/>
      <c r="B57" s="45" t="s">
        <v>67</v>
      </c>
      <c r="C57" s="24" t="s">
        <v>14</v>
      </c>
      <c r="D57" s="24">
        <f t="shared" si="0"/>
        <v>1</v>
      </c>
      <c r="E57" s="24"/>
      <c r="F57" s="25"/>
      <c r="G57" s="24"/>
      <c r="H57" s="25"/>
      <c r="I57" s="24"/>
      <c r="J57" s="25"/>
      <c r="K57" s="26">
        <v>1</v>
      </c>
      <c r="L57" s="25"/>
      <c r="M57" s="19"/>
      <c r="N57" s="25"/>
      <c r="O57" s="25"/>
      <c r="P57" s="40"/>
      <c r="Q57" s="41"/>
      <c r="R57" s="41"/>
    </row>
    <row r="58" spans="1:18" ht="13.5" thickBot="1">
      <c r="A58" s="22"/>
      <c r="B58" s="45" t="s">
        <v>68</v>
      </c>
      <c r="C58" s="24" t="s">
        <v>14</v>
      </c>
      <c r="D58" s="24">
        <f t="shared" si="0"/>
        <v>1</v>
      </c>
      <c r="E58" s="24"/>
      <c r="F58" s="25"/>
      <c r="G58" s="24"/>
      <c r="H58" s="25"/>
      <c r="I58" s="24"/>
      <c r="J58" s="25"/>
      <c r="K58" s="26">
        <v>1</v>
      </c>
      <c r="L58" s="25"/>
      <c r="M58" s="19"/>
      <c r="N58" s="25"/>
      <c r="O58" s="25"/>
      <c r="P58" s="40"/>
      <c r="Q58" s="41"/>
      <c r="R58" s="41"/>
    </row>
    <row r="59" spans="1:18" ht="13.5" thickBot="1">
      <c r="A59" s="22"/>
      <c r="B59" s="45" t="s">
        <v>33</v>
      </c>
      <c r="C59" s="24" t="s">
        <v>14</v>
      </c>
      <c r="D59" s="24">
        <f t="shared" si="0"/>
        <v>1</v>
      </c>
      <c r="E59" s="24"/>
      <c r="F59" s="25"/>
      <c r="G59" s="24"/>
      <c r="H59" s="25"/>
      <c r="I59" s="24"/>
      <c r="J59" s="25"/>
      <c r="K59" s="26">
        <v>1</v>
      </c>
      <c r="L59" s="25"/>
      <c r="M59" s="19"/>
      <c r="N59" s="25"/>
      <c r="O59" s="25"/>
      <c r="P59" s="40"/>
      <c r="Q59" s="41"/>
      <c r="R59" s="41"/>
    </row>
    <row r="60" spans="1:18" ht="13.5" thickBot="1">
      <c r="A60" s="22"/>
      <c r="B60" s="45" t="s">
        <v>69</v>
      </c>
      <c r="C60" s="24" t="s">
        <v>14</v>
      </c>
      <c r="D60" s="24">
        <f t="shared" si="0"/>
        <v>1</v>
      </c>
      <c r="E60" s="24"/>
      <c r="F60" s="25"/>
      <c r="G60" s="24"/>
      <c r="H60" s="25"/>
      <c r="I60" s="24"/>
      <c r="J60" s="25"/>
      <c r="K60" s="26">
        <v>1</v>
      </c>
      <c r="L60" s="25"/>
      <c r="M60" s="19"/>
      <c r="N60" s="25"/>
      <c r="O60" s="25"/>
      <c r="P60" s="40"/>
      <c r="Q60" s="41"/>
      <c r="R60" s="41"/>
    </row>
    <row r="61" spans="1:18" ht="13.5" thickBot="1">
      <c r="A61" s="22"/>
      <c r="B61" s="45" t="s">
        <v>70</v>
      </c>
      <c r="C61" s="24" t="s">
        <v>14</v>
      </c>
      <c r="D61" s="24">
        <f t="shared" si="0"/>
        <v>1</v>
      </c>
      <c r="E61" s="24"/>
      <c r="F61" s="25"/>
      <c r="G61" s="24"/>
      <c r="H61" s="25"/>
      <c r="I61" s="24"/>
      <c r="J61" s="25"/>
      <c r="K61" s="26">
        <v>1</v>
      </c>
      <c r="L61" s="25"/>
      <c r="M61" s="19"/>
      <c r="N61" s="25"/>
      <c r="O61" s="25"/>
      <c r="P61" s="40"/>
      <c r="Q61" s="41"/>
      <c r="R61" s="41"/>
    </row>
    <row r="62" spans="1:18" ht="13.5" thickBot="1">
      <c r="A62" s="22"/>
      <c r="B62" s="45" t="s">
        <v>71</v>
      </c>
      <c r="C62" s="24" t="s">
        <v>14</v>
      </c>
      <c r="D62" s="24">
        <f t="shared" si="0"/>
        <v>1</v>
      </c>
      <c r="E62" s="24"/>
      <c r="F62" s="25"/>
      <c r="G62" s="24"/>
      <c r="H62" s="25"/>
      <c r="I62" s="24"/>
      <c r="J62" s="25"/>
      <c r="K62" s="26">
        <v>1</v>
      </c>
      <c r="L62" s="25"/>
      <c r="M62" s="19"/>
      <c r="N62" s="25"/>
      <c r="O62" s="25"/>
      <c r="P62" s="40"/>
      <c r="Q62" s="41"/>
      <c r="R62" s="41"/>
    </row>
    <row r="63" spans="1:18" ht="13.5" thickBot="1">
      <c r="A63" s="22"/>
      <c r="B63" s="45" t="s">
        <v>72</v>
      </c>
      <c r="C63" s="24" t="s">
        <v>14</v>
      </c>
      <c r="D63" s="24">
        <f t="shared" si="0"/>
        <v>1</v>
      </c>
      <c r="E63" s="24"/>
      <c r="F63" s="25"/>
      <c r="G63" s="24"/>
      <c r="H63" s="25"/>
      <c r="I63" s="24"/>
      <c r="J63" s="25"/>
      <c r="K63" s="26">
        <v>1</v>
      </c>
      <c r="L63" s="25"/>
      <c r="M63" s="19"/>
      <c r="N63" s="25"/>
      <c r="O63" s="25"/>
      <c r="P63" s="40"/>
      <c r="Q63" s="41"/>
      <c r="R63" s="41"/>
    </row>
    <row r="64" spans="1:18" ht="13.5" thickBot="1">
      <c r="A64" s="22"/>
      <c r="B64" s="45" t="s">
        <v>73</v>
      </c>
      <c r="C64" s="24" t="s">
        <v>14</v>
      </c>
      <c r="D64" s="24">
        <f t="shared" si="0"/>
        <v>1</v>
      </c>
      <c r="E64" s="24"/>
      <c r="F64" s="25"/>
      <c r="G64" s="24"/>
      <c r="H64" s="25"/>
      <c r="I64" s="24"/>
      <c r="J64" s="25"/>
      <c r="K64" s="26">
        <v>1</v>
      </c>
      <c r="L64" s="25"/>
      <c r="M64" s="19"/>
      <c r="N64" s="25"/>
      <c r="O64" s="25"/>
      <c r="P64" s="40"/>
      <c r="Q64" s="41"/>
      <c r="R64" s="41"/>
    </row>
    <row r="65" spans="1:18" ht="13.5" thickBot="1">
      <c r="A65" s="22"/>
      <c r="B65" s="45" t="s">
        <v>74</v>
      </c>
      <c r="C65" s="24" t="s">
        <v>14</v>
      </c>
      <c r="D65" s="24">
        <f t="shared" si="0"/>
        <v>1</v>
      </c>
      <c r="E65" s="24"/>
      <c r="F65" s="25"/>
      <c r="G65" s="24"/>
      <c r="H65" s="25"/>
      <c r="I65" s="24"/>
      <c r="J65" s="25"/>
      <c r="K65" s="26">
        <v>1</v>
      </c>
      <c r="L65" s="25"/>
      <c r="M65" s="19"/>
      <c r="N65" s="25"/>
      <c r="O65" s="25"/>
      <c r="P65" s="40"/>
      <c r="Q65" s="41"/>
      <c r="R65" s="41"/>
    </row>
    <row r="66" spans="1:18" ht="13.5" thickBot="1">
      <c r="A66" s="22"/>
      <c r="B66" s="45" t="s">
        <v>75</v>
      </c>
      <c r="C66" s="24" t="s">
        <v>14</v>
      </c>
      <c r="D66" s="24">
        <f t="shared" si="0"/>
        <v>1</v>
      </c>
      <c r="E66" s="24"/>
      <c r="F66" s="25"/>
      <c r="G66" s="24"/>
      <c r="H66" s="25"/>
      <c r="I66" s="24"/>
      <c r="J66" s="25"/>
      <c r="K66" s="26">
        <v>1</v>
      </c>
      <c r="L66" s="25"/>
      <c r="M66" s="19"/>
      <c r="N66" s="25"/>
      <c r="O66" s="25"/>
      <c r="P66" s="40"/>
      <c r="Q66" s="41"/>
      <c r="R66" s="41"/>
    </row>
    <row r="67" spans="1:18" ht="13.5" thickBot="1">
      <c r="A67" s="22"/>
      <c r="B67" s="45" t="s">
        <v>76</v>
      </c>
      <c r="C67" s="24" t="s">
        <v>14</v>
      </c>
      <c r="D67" s="24">
        <f t="shared" si="0"/>
        <v>1</v>
      </c>
      <c r="E67" s="24"/>
      <c r="F67" s="25"/>
      <c r="G67" s="24"/>
      <c r="H67" s="25"/>
      <c r="I67" s="24"/>
      <c r="J67" s="25"/>
      <c r="K67" s="26">
        <v>1</v>
      </c>
      <c r="L67" s="25"/>
      <c r="M67" s="19"/>
      <c r="N67" s="25"/>
      <c r="O67" s="25"/>
      <c r="P67" s="40"/>
      <c r="Q67" s="41"/>
      <c r="R67" s="41"/>
    </row>
    <row r="68" spans="1:18" ht="13.5" thickBot="1">
      <c r="A68" s="22"/>
      <c r="B68" s="45" t="s">
        <v>77</v>
      </c>
      <c r="C68" s="24" t="s">
        <v>14</v>
      </c>
      <c r="D68" s="24">
        <f t="shared" si="0"/>
        <v>1</v>
      </c>
      <c r="E68" s="24"/>
      <c r="F68" s="25"/>
      <c r="G68" s="24"/>
      <c r="H68" s="25"/>
      <c r="I68" s="24"/>
      <c r="J68" s="25"/>
      <c r="K68" s="26">
        <v>1</v>
      </c>
      <c r="L68" s="25"/>
      <c r="M68" s="19"/>
      <c r="N68" s="25"/>
      <c r="O68" s="25"/>
      <c r="P68" s="40"/>
      <c r="Q68" s="41"/>
      <c r="R68" s="41"/>
    </row>
    <row r="69" spans="1:18" ht="13.5" thickBot="1">
      <c r="A69" s="22"/>
      <c r="B69" s="45" t="s">
        <v>78</v>
      </c>
      <c r="C69" s="24" t="s">
        <v>14</v>
      </c>
      <c r="D69" s="24">
        <f t="shared" si="0"/>
        <v>1</v>
      </c>
      <c r="E69" s="24"/>
      <c r="F69" s="25"/>
      <c r="G69" s="24"/>
      <c r="H69" s="25"/>
      <c r="I69" s="24"/>
      <c r="J69" s="25"/>
      <c r="K69" s="26">
        <v>1</v>
      </c>
      <c r="L69" s="25"/>
      <c r="M69" s="19"/>
      <c r="N69" s="25"/>
      <c r="O69" s="25"/>
      <c r="P69" s="40"/>
      <c r="Q69" s="41"/>
      <c r="R69" s="41"/>
    </row>
    <row r="70" spans="1:18" ht="13.5" thickBot="1">
      <c r="A70" s="22"/>
      <c r="B70" s="45" t="s">
        <v>79</v>
      </c>
      <c r="C70" s="24" t="s">
        <v>14</v>
      </c>
      <c r="D70" s="24">
        <f t="shared" si="0"/>
        <v>1</v>
      </c>
      <c r="E70" s="24"/>
      <c r="F70" s="25"/>
      <c r="G70" s="24"/>
      <c r="H70" s="25"/>
      <c r="I70" s="24"/>
      <c r="J70" s="25"/>
      <c r="K70" s="26">
        <v>1</v>
      </c>
      <c r="L70" s="25"/>
      <c r="M70" s="19"/>
      <c r="N70" s="25"/>
      <c r="O70" s="25"/>
      <c r="P70" s="40"/>
      <c r="Q70" s="41"/>
      <c r="R70" s="41"/>
    </row>
    <row r="71" spans="1:18" ht="13.5" thickBot="1">
      <c r="A71" s="22"/>
      <c r="B71" s="45" t="s">
        <v>80</v>
      </c>
      <c r="C71" s="24" t="s">
        <v>14</v>
      </c>
      <c r="D71" s="24">
        <f t="shared" si="0"/>
        <v>1</v>
      </c>
      <c r="E71" s="24"/>
      <c r="F71" s="25"/>
      <c r="G71" s="24"/>
      <c r="H71" s="25"/>
      <c r="I71" s="24"/>
      <c r="J71" s="25"/>
      <c r="K71" s="26">
        <v>1</v>
      </c>
      <c r="L71" s="25"/>
      <c r="M71" s="19"/>
      <c r="N71" s="25"/>
      <c r="O71" s="25"/>
      <c r="P71" s="40"/>
      <c r="Q71" s="41"/>
      <c r="R71" s="41"/>
    </row>
    <row r="72" spans="1:18" ht="13.5" thickBot="1">
      <c r="A72" s="22" t="s">
        <v>81</v>
      </c>
      <c r="B72" s="45" t="s">
        <v>82</v>
      </c>
      <c r="C72" s="24" t="s">
        <v>14</v>
      </c>
      <c r="D72" s="24">
        <f t="shared" si="0"/>
        <v>2</v>
      </c>
      <c r="E72" s="24"/>
      <c r="F72" s="25"/>
      <c r="G72" s="24"/>
      <c r="H72" s="25"/>
      <c r="I72" s="24"/>
      <c r="J72" s="25"/>
      <c r="K72" s="26">
        <v>2</v>
      </c>
      <c r="L72" s="25">
        <f>ROUND(60060.35,2)</f>
        <v>60060.35</v>
      </c>
      <c r="M72" s="19">
        <f>ROUND(60.06,2)</f>
        <v>60.06</v>
      </c>
      <c r="N72" s="19">
        <f>ROUND(60000.29,2)</f>
        <v>60000.29</v>
      </c>
      <c r="O72" s="25"/>
      <c r="P72" s="37"/>
      <c r="Q72" s="38"/>
      <c r="R72" s="38"/>
    </row>
    <row r="73" spans="1:18" ht="13.5" thickBot="1">
      <c r="A73" s="22" t="s">
        <v>83</v>
      </c>
      <c r="B73" s="48" t="s">
        <v>84</v>
      </c>
      <c r="C73" s="22" t="s">
        <v>14</v>
      </c>
      <c r="D73" s="24">
        <f t="shared" si="0"/>
        <v>1</v>
      </c>
      <c r="E73" s="24"/>
      <c r="F73" s="25"/>
      <c r="G73" s="24"/>
      <c r="H73" s="25"/>
      <c r="I73" s="24"/>
      <c r="J73" s="25"/>
      <c r="K73" s="26">
        <v>1</v>
      </c>
      <c r="L73" s="25">
        <f>ROUND(58703.83,2)</f>
        <v>58703.83</v>
      </c>
      <c r="M73" s="19">
        <f>ROUND(58.7,2)</f>
        <v>58.7</v>
      </c>
      <c r="N73" s="19">
        <f>ROUND(58645.13,2)</f>
        <v>58645.13</v>
      </c>
      <c r="O73" s="25"/>
      <c r="P73" s="40"/>
      <c r="Q73" s="41"/>
      <c r="R73" s="41"/>
    </row>
    <row r="74" spans="1:18" ht="27" thickBot="1">
      <c r="A74" s="22" t="s">
        <v>85</v>
      </c>
      <c r="B74" s="48" t="s">
        <v>86</v>
      </c>
      <c r="C74" s="22" t="s">
        <v>14</v>
      </c>
      <c r="D74" s="24">
        <f t="shared" si="0"/>
        <v>1</v>
      </c>
      <c r="E74" s="24"/>
      <c r="F74" s="25"/>
      <c r="G74" s="24"/>
      <c r="H74" s="25"/>
      <c r="I74" s="24"/>
      <c r="J74" s="25"/>
      <c r="K74" s="26">
        <v>1</v>
      </c>
      <c r="L74" s="25">
        <f>ROUND(58703.83,2)</f>
        <v>58703.83</v>
      </c>
      <c r="M74" s="19">
        <f>ROUND(58.7,2)</f>
        <v>58.7</v>
      </c>
      <c r="N74" s="19">
        <f>ROUND(58645.13,2)</f>
        <v>58645.13</v>
      </c>
      <c r="O74" s="25"/>
      <c r="P74" s="40"/>
      <c r="Q74" s="41"/>
      <c r="R74" s="41"/>
    </row>
    <row r="75" spans="1:18" ht="14.25" thickBot="1">
      <c r="A75" s="9">
        <v>2</v>
      </c>
      <c r="B75" s="49" t="s">
        <v>87</v>
      </c>
      <c r="C75" s="50" t="s">
        <v>14</v>
      </c>
      <c r="D75" s="50">
        <f>E75+G75+I75+K75</f>
        <v>6</v>
      </c>
      <c r="E75" s="50">
        <v>1</v>
      </c>
      <c r="F75" s="51">
        <v>6696</v>
      </c>
      <c r="G75" s="50">
        <f>G76+G78+G80</f>
        <v>5</v>
      </c>
      <c r="H75" s="51">
        <f>H76+H78+H80</f>
        <v>17500</v>
      </c>
      <c r="I75" s="50"/>
      <c r="J75" s="51"/>
      <c r="K75" s="52"/>
      <c r="L75" s="51"/>
      <c r="M75" s="19"/>
      <c r="N75" s="19"/>
      <c r="O75" s="51">
        <f>ROUND(F75+H75+J75,2)</f>
        <v>24196</v>
      </c>
      <c r="P75" s="53"/>
      <c r="Q75" s="54"/>
      <c r="R75" s="54"/>
    </row>
    <row r="76" spans="1:18" ht="13.5" thickBot="1">
      <c r="A76" s="22" t="s">
        <v>88</v>
      </c>
      <c r="B76" s="45" t="s">
        <v>44</v>
      </c>
      <c r="C76" s="24" t="s">
        <v>14</v>
      </c>
      <c r="D76" s="18">
        <f aca="true" t="shared" si="3" ref="D76:D135">E76+G76+I76+K76</f>
        <v>1</v>
      </c>
      <c r="E76" s="24"/>
      <c r="F76" s="25"/>
      <c r="G76" s="24">
        <f>SUM(G77)</f>
        <v>1</v>
      </c>
      <c r="H76" s="25">
        <f>SUM(H77)</f>
        <v>3500</v>
      </c>
      <c r="I76" s="24"/>
      <c r="J76" s="25"/>
      <c r="K76" s="26"/>
      <c r="L76" s="25"/>
      <c r="M76" s="19"/>
      <c r="N76" s="19"/>
      <c r="O76" s="25"/>
      <c r="P76" s="55"/>
      <c r="Q76" s="56"/>
      <c r="R76" s="56"/>
    </row>
    <row r="77" spans="1:18" ht="27" thickBot="1">
      <c r="A77" s="22"/>
      <c r="B77" s="45" t="s">
        <v>89</v>
      </c>
      <c r="C77" s="24" t="s">
        <v>14</v>
      </c>
      <c r="D77" s="18">
        <f t="shared" si="3"/>
        <v>1</v>
      </c>
      <c r="E77" s="24"/>
      <c r="F77" s="25"/>
      <c r="G77" s="24">
        <v>1</v>
      </c>
      <c r="H77" s="25">
        <v>3500</v>
      </c>
      <c r="I77" s="24"/>
      <c r="J77" s="25"/>
      <c r="K77" s="26"/>
      <c r="L77" s="25"/>
      <c r="M77" s="19"/>
      <c r="N77" s="19"/>
      <c r="O77" s="25"/>
      <c r="P77" s="46"/>
      <c r="Q77" s="47"/>
      <c r="R77" s="47"/>
    </row>
    <row r="78" spans="1:18" ht="13.5" thickBot="1">
      <c r="A78" s="22" t="s">
        <v>90</v>
      </c>
      <c r="B78" s="45" t="s">
        <v>62</v>
      </c>
      <c r="C78" s="24" t="s">
        <v>14</v>
      </c>
      <c r="D78" s="18">
        <f t="shared" si="3"/>
        <v>2</v>
      </c>
      <c r="E78" s="24"/>
      <c r="F78" s="25"/>
      <c r="G78" s="24">
        <f>SUM(G79)</f>
        <v>2</v>
      </c>
      <c r="H78" s="25">
        <f>SUM(H79)</f>
        <v>7000</v>
      </c>
      <c r="I78" s="24"/>
      <c r="J78" s="25"/>
      <c r="K78" s="26"/>
      <c r="L78" s="25"/>
      <c r="M78" s="19"/>
      <c r="N78" s="19"/>
      <c r="O78" s="25"/>
      <c r="P78" s="55"/>
      <c r="Q78" s="56"/>
      <c r="R78" s="56"/>
    </row>
    <row r="79" spans="1:18" ht="27" thickBot="1">
      <c r="A79" s="22"/>
      <c r="B79" s="45" t="s">
        <v>63</v>
      </c>
      <c r="C79" s="24" t="s">
        <v>14</v>
      </c>
      <c r="D79" s="18">
        <f t="shared" si="3"/>
        <v>2</v>
      </c>
      <c r="E79" s="24"/>
      <c r="F79" s="25"/>
      <c r="G79" s="24">
        <v>2</v>
      </c>
      <c r="H79" s="25">
        <v>7000</v>
      </c>
      <c r="I79" s="24"/>
      <c r="J79" s="25"/>
      <c r="K79" s="26"/>
      <c r="L79" s="25"/>
      <c r="M79" s="19"/>
      <c r="N79" s="19"/>
      <c r="O79" s="25"/>
      <c r="P79" s="46"/>
      <c r="Q79" s="47"/>
      <c r="R79" s="47"/>
    </row>
    <row r="80" spans="1:18" ht="27" thickBot="1">
      <c r="A80" s="57" t="s">
        <v>91</v>
      </c>
      <c r="B80" s="58" t="s">
        <v>144</v>
      </c>
      <c r="C80" s="24" t="s">
        <v>14</v>
      </c>
      <c r="D80" s="18">
        <f t="shared" si="3"/>
        <v>2</v>
      </c>
      <c r="E80" s="24"/>
      <c r="F80" s="25"/>
      <c r="G80" s="24">
        <f>SUM(G81)</f>
        <v>2</v>
      </c>
      <c r="H80" s="25">
        <f>SUM(H81)</f>
        <v>7000</v>
      </c>
      <c r="I80" s="24"/>
      <c r="J80" s="25"/>
      <c r="K80" s="26"/>
      <c r="L80" s="25"/>
      <c r="M80" s="19"/>
      <c r="N80" s="19"/>
      <c r="O80" s="25"/>
      <c r="P80" s="55"/>
      <c r="Q80" s="56"/>
      <c r="R80" s="56"/>
    </row>
    <row r="81" spans="1:18" ht="48" customHeight="1" thickBot="1">
      <c r="A81" s="22"/>
      <c r="B81" s="45" t="s">
        <v>92</v>
      </c>
      <c r="C81" s="24" t="s">
        <v>14</v>
      </c>
      <c r="D81" s="18">
        <f t="shared" si="3"/>
        <v>2</v>
      </c>
      <c r="E81" s="24"/>
      <c r="F81" s="25"/>
      <c r="G81" s="24">
        <v>2</v>
      </c>
      <c r="H81" s="25">
        <v>7000</v>
      </c>
      <c r="I81" s="24"/>
      <c r="J81" s="25"/>
      <c r="K81" s="26"/>
      <c r="L81" s="25"/>
      <c r="M81" s="19"/>
      <c r="N81" s="19"/>
      <c r="O81" s="25"/>
      <c r="P81" s="46"/>
      <c r="Q81" s="47"/>
      <c r="R81" s="47"/>
    </row>
    <row r="82" spans="1:18" ht="27" thickBot="1">
      <c r="A82" s="22" t="s">
        <v>93</v>
      </c>
      <c r="B82" s="45" t="s">
        <v>65</v>
      </c>
      <c r="C82" s="24" t="s">
        <v>14</v>
      </c>
      <c r="D82" s="18">
        <f t="shared" si="3"/>
        <v>1</v>
      </c>
      <c r="E82" s="24">
        <v>1</v>
      </c>
      <c r="F82" s="25">
        <v>6696</v>
      </c>
      <c r="G82" s="24"/>
      <c r="H82" s="25"/>
      <c r="I82" s="24"/>
      <c r="J82" s="25"/>
      <c r="K82" s="26"/>
      <c r="L82" s="25"/>
      <c r="M82" s="19"/>
      <c r="N82" s="19"/>
      <c r="O82" s="25"/>
      <c r="P82" s="55"/>
      <c r="Q82" s="56"/>
      <c r="R82" s="56"/>
    </row>
    <row r="83" spans="1:18" ht="14.25" thickBot="1">
      <c r="A83" s="9">
        <v>3</v>
      </c>
      <c r="B83" s="49" t="s">
        <v>94</v>
      </c>
      <c r="C83" s="50" t="s">
        <v>14</v>
      </c>
      <c r="D83" s="50">
        <f t="shared" si="3"/>
        <v>1</v>
      </c>
      <c r="E83" s="50"/>
      <c r="F83" s="51"/>
      <c r="G83" s="50">
        <f>SUM(G84)</f>
        <v>1</v>
      </c>
      <c r="H83" s="51">
        <f>SUM(H84)</f>
        <v>350100</v>
      </c>
      <c r="I83" s="50"/>
      <c r="J83" s="51"/>
      <c r="K83" s="52"/>
      <c r="L83" s="51"/>
      <c r="M83" s="19"/>
      <c r="N83" s="19"/>
      <c r="O83" s="51">
        <f>ROUND(H83+F83+J83,2)</f>
        <v>350100</v>
      </c>
      <c r="P83" s="59"/>
      <c r="Q83" s="60"/>
      <c r="R83" s="60"/>
    </row>
    <row r="84" spans="1:18" ht="27" thickBot="1">
      <c r="A84" s="22" t="s">
        <v>95</v>
      </c>
      <c r="B84" s="45" t="s">
        <v>96</v>
      </c>
      <c r="C84" s="24" t="s">
        <v>14</v>
      </c>
      <c r="D84" s="18">
        <f t="shared" si="3"/>
        <v>1</v>
      </c>
      <c r="E84" s="24"/>
      <c r="F84" s="25"/>
      <c r="G84" s="24">
        <f>SUM(G85)</f>
        <v>1</v>
      </c>
      <c r="H84" s="25">
        <f>SUM(H85)</f>
        <v>350100</v>
      </c>
      <c r="I84" s="24"/>
      <c r="J84" s="25"/>
      <c r="K84" s="26"/>
      <c r="L84" s="25"/>
      <c r="M84" s="19"/>
      <c r="N84" s="19"/>
      <c r="O84" s="25"/>
      <c r="P84" s="55"/>
      <c r="Q84" s="56"/>
      <c r="R84" s="56"/>
    </row>
    <row r="85" spans="1:18" ht="13.5" thickBot="1">
      <c r="A85" s="22"/>
      <c r="B85" s="45" t="s">
        <v>97</v>
      </c>
      <c r="C85" s="24" t="s">
        <v>14</v>
      </c>
      <c r="D85" s="18">
        <f t="shared" si="3"/>
        <v>1</v>
      </c>
      <c r="E85" s="24"/>
      <c r="F85" s="25"/>
      <c r="G85" s="24">
        <v>1</v>
      </c>
      <c r="H85" s="25">
        <v>350100</v>
      </c>
      <c r="I85" s="24"/>
      <c r="J85" s="25"/>
      <c r="K85" s="26"/>
      <c r="L85" s="25"/>
      <c r="M85" s="19"/>
      <c r="N85" s="19"/>
      <c r="O85" s="25"/>
      <c r="P85" s="46"/>
      <c r="Q85" s="47"/>
      <c r="R85" s="47"/>
    </row>
    <row r="86" spans="1:18" ht="14.25" thickBot="1">
      <c r="A86" s="9">
        <v>4</v>
      </c>
      <c r="B86" s="49" t="s">
        <v>98</v>
      </c>
      <c r="C86" s="50" t="s">
        <v>14</v>
      </c>
      <c r="D86" s="50">
        <f t="shared" si="3"/>
        <v>3</v>
      </c>
      <c r="E86" s="50">
        <f>SUM(E87)</f>
        <v>1</v>
      </c>
      <c r="F86" s="51">
        <v>89681</v>
      </c>
      <c r="G86" s="50"/>
      <c r="H86" s="51"/>
      <c r="I86" s="50">
        <f>I87</f>
        <v>2</v>
      </c>
      <c r="J86" s="51">
        <f>ROUND(J87,2)</f>
        <v>120126.4</v>
      </c>
      <c r="K86" s="52"/>
      <c r="L86" s="51"/>
      <c r="M86" s="51"/>
      <c r="N86" s="61"/>
      <c r="O86" s="51">
        <f>ROUND(J86+F86+H86,2)</f>
        <v>209807.4</v>
      </c>
      <c r="P86" s="59"/>
      <c r="Q86" s="60"/>
      <c r="R86" s="60"/>
    </row>
    <row r="87" spans="1:18" ht="27" thickBot="1">
      <c r="A87" s="22" t="s">
        <v>99</v>
      </c>
      <c r="B87" s="45" t="s">
        <v>96</v>
      </c>
      <c r="C87" s="24" t="s">
        <v>14</v>
      </c>
      <c r="D87" s="18">
        <f t="shared" si="3"/>
        <v>3</v>
      </c>
      <c r="E87" s="62">
        <f>E88</f>
        <v>1</v>
      </c>
      <c r="F87" s="63">
        <f>F88</f>
        <v>89681</v>
      </c>
      <c r="G87" s="62"/>
      <c r="H87" s="63"/>
      <c r="I87" s="24">
        <f>SUM(I89:I90)</f>
        <v>2</v>
      </c>
      <c r="J87" s="25">
        <f>ROUND(SUM(J89:J90),2)</f>
        <v>120126.4</v>
      </c>
      <c r="K87" s="26"/>
      <c r="L87" s="25"/>
      <c r="M87" s="25"/>
      <c r="N87" s="19"/>
      <c r="O87" s="63"/>
      <c r="P87" s="64"/>
      <c r="Q87" s="65"/>
      <c r="R87" s="65"/>
    </row>
    <row r="88" spans="1:18" ht="14.25" thickBot="1">
      <c r="A88" s="22"/>
      <c r="B88" s="45" t="s">
        <v>60</v>
      </c>
      <c r="C88" s="24" t="s">
        <v>14</v>
      </c>
      <c r="D88" s="18">
        <f t="shared" si="3"/>
        <v>1</v>
      </c>
      <c r="E88" s="62">
        <v>1</v>
      </c>
      <c r="F88" s="63">
        <v>89681</v>
      </c>
      <c r="G88" s="62"/>
      <c r="H88" s="63"/>
      <c r="I88" s="24"/>
      <c r="J88" s="25"/>
      <c r="K88" s="26"/>
      <c r="L88" s="25"/>
      <c r="M88" s="25"/>
      <c r="N88" s="19"/>
      <c r="O88" s="63"/>
      <c r="P88" s="66"/>
      <c r="Q88" s="67"/>
      <c r="R88" s="67"/>
    </row>
    <row r="89" spans="1:18" ht="14.25" thickBot="1">
      <c r="A89" s="68"/>
      <c r="B89" s="45" t="s">
        <v>100</v>
      </c>
      <c r="C89" s="24" t="s">
        <v>14</v>
      </c>
      <c r="D89" s="18">
        <f t="shared" si="3"/>
        <v>1</v>
      </c>
      <c r="E89" s="62"/>
      <c r="F89" s="63"/>
      <c r="G89" s="62"/>
      <c r="H89" s="63"/>
      <c r="I89" s="24">
        <v>1</v>
      </c>
      <c r="J89" s="25">
        <f>ROUND(96000,2)</f>
        <v>96000</v>
      </c>
      <c r="K89" s="26"/>
      <c r="L89" s="25"/>
      <c r="M89" s="19"/>
      <c r="N89" s="19"/>
      <c r="O89" s="63"/>
      <c r="P89" s="66"/>
      <c r="Q89" s="67"/>
      <c r="R89" s="67"/>
    </row>
    <row r="90" spans="1:18" ht="14.25" thickBot="1">
      <c r="A90" s="68"/>
      <c r="B90" s="45" t="s">
        <v>33</v>
      </c>
      <c r="C90" s="24" t="s">
        <v>14</v>
      </c>
      <c r="D90" s="18">
        <f t="shared" si="3"/>
        <v>1</v>
      </c>
      <c r="E90" s="62"/>
      <c r="F90" s="63"/>
      <c r="G90" s="62"/>
      <c r="H90" s="63"/>
      <c r="I90" s="24">
        <v>1</v>
      </c>
      <c r="J90" s="25">
        <f>ROUND(24126.4,2)</f>
        <v>24126.4</v>
      </c>
      <c r="K90" s="26"/>
      <c r="L90" s="25"/>
      <c r="M90" s="19"/>
      <c r="N90" s="19"/>
      <c r="O90" s="63"/>
      <c r="P90" s="66"/>
      <c r="Q90" s="67"/>
      <c r="R90" s="67"/>
    </row>
    <row r="91" spans="1:18" ht="27.75" thickBot="1">
      <c r="A91" s="9">
        <v>5</v>
      </c>
      <c r="B91" s="49" t="s">
        <v>101</v>
      </c>
      <c r="C91" s="50" t="s">
        <v>14</v>
      </c>
      <c r="D91" s="50">
        <f t="shared" si="3"/>
        <v>6</v>
      </c>
      <c r="E91" s="50"/>
      <c r="F91" s="51"/>
      <c r="G91" s="50">
        <f>G92+G97</f>
        <v>6</v>
      </c>
      <c r="H91" s="51">
        <f>H92+H97</f>
        <v>360000</v>
      </c>
      <c r="I91" s="50"/>
      <c r="J91" s="51"/>
      <c r="K91" s="52"/>
      <c r="L91" s="51"/>
      <c r="M91" s="19"/>
      <c r="N91" s="19"/>
      <c r="O91" s="51">
        <f>ROUND(F91+H91+J91,2)</f>
        <v>360000</v>
      </c>
      <c r="P91" s="59"/>
      <c r="Q91" s="60"/>
      <c r="R91" s="60"/>
    </row>
    <row r="92" spans="1:18" ht="14.25" thickBot="1">
      <c r="A92" s="22" t="s">
        <v>102</v>
      </c>
      <c r="B92" s="45" t="s">
        <v>103</v>
      </c>
      <c r="C92" s="24" t="s">
        <v>14</v>
      </c>
      <c r="D92" s="18">
        <f t="shared" si="3"/>
        <v>3</v>
      </c>
      <c r="E92" s="24"/>
      <c r="F92" s="25"/>
      <c r="G92" s="24">
        <f>G93+G95</f>
        <v>3</v>
      </c>
      <c r="H92" s="25">
        <f>H93+H95</f>
        <v>15000</v>
      </c>
      <c r="I92" s="62"/>
      <c r="J92" s="63"/>
      <c r="K92" s="69"/>
      <c r="L92" s="63"/>
      <c r="M92" s="19"/>
      <c r="N92" s="19"/>
      <c r="O92" s="51"/>
      <c r="P92" s="70"/>
      <c r="Q92" s="71"/>
      <c r="R92" s="71"/>
    </row>
    <row r="93" spans="1:18" ht="27" thickBot="1">
      <c r="A93" s="22" t="s">
        <v>104</v>
      </c>
      <c r="B93" s="45" t="s">
        <v>96</v>
      </c>
      <c r="C93" s="24" t="s">
        <v>14</v>
      </c>
      <c r="D93" s="18">
        <f t="shared" si="3"/>
        <v>1</v>
      </c>
      <c r="E93" s="62"/>
      <c r="F93" s="25"/>
      <c r="G93" s="24">
        <f>SUM(G94)</f>
        <v>1</v>
      </c>
      <c r="H93" s="25">
        <f>SUM(H94)</f>
        <v>5000</v>
      </c>
      <c r="I93" s="24"/>
      <c r="J93" s="25"/>
      <c r="K93" s="26"/>
      <c r="L93" s="25"/>
      <c r="M93" s="19"/>
      <c r="N93" s="19"/>
      <c r="O93" s="63"/>
      <c r="P93" s="72"/>
      <c r="Q93" s="73"/>
      <c r="R93" s="73"/>
    </row>
    <row r="94" spans="1:18" ht="14.25" thickBot="1">
      <c r="A94" s="22"/>
      <c r="B94" s="45" t="s">
        <v>105</v>
      </c>
      <c r="C94" s="24" t="s">
        <v>14</v>
      </c>
      <c r="D94" s="18">
        <f t="shared" si="3"/>
        <v>1</v>
      </c>
      <c r="E94" s="62"/>
      <c r="F94" s="25"/>
      <c r="G94" s="24">
        <v>1</v>
      </c>
      <c r="H94" s="25">
        <v>5000</v>
      </c>
      <c r="I94" s="24"/>
      <c r="J94" s="25"/>
      <c r="K94" s="26"/>
      <c r="L94" s="25"/>
      <c r="M94" s="19"/>
      <c r="N94" s="19"/>
      <c r="O94" s="63"/>
      <c r="P94" s="66"/>
      <c r="Q94" s="67"/>
      <c r="R94" s="67"/>
    </row>
    <row r="95" spans="1:18" ht="27" thickBot="1">
      <c r="A95" s="22" t="s">
        <v>106</v>
      </c>
      <c r="B95" s="45" t="s">
        <v>107</v>
      </c>
      <c r="C95" s="24" t="s">
        <v>14</v>
      </c>
      <c r="D95" s="18">
        <f t="shared" si="3"/>
        <v>2</v>
      </c>
      <c r="E95" s="62"/>
      <c r="F95" s="25"/>
      <c r="G95" s="24">
        <f>SUM(G96)</f>
        <v>2</v>
      </c>
      <c r="H95" s="25">
        <f>SUM(H96)</f>
        <v>10000</v>
      </c>
      <c r="I95" s="24"/>
      <c r="J95" s="25"/>
      <c r="K95" s="26"/>
      <c r="L95" s="25"/>
      <c r="M95" s="19"/>
      <c r="N95" s="19"/>
      <c r="O95" s="63"/>
      <c r="P95" s="72"/>
      <c r="Q95" s="73"/>
      <c r="R95" s="73"/>
    </row>
    <row r="96" spans="1:18" ht="14.25" thickBot="1">
      <c r="A96" s="68"/>
      <c r="B96" s="45" t="s">
        <v>108</v>
      </c>
      <c r="C96" s="24" t="s">
        <v>14</v>
      </c>
      <c r="D96" s="18">
        <f t="shared" si="3"/>
        <v>2</v>
      </c>
      <c r="E96" s="62"/>
      <c r="F96" s="25"/>
      <c r="G96" s="24">
        <v>2</v>
      </c>
      <c r="H96" s="25">
        <v>10000</v>
      </c>
      <c r="I96" s="24"/>
      <c r="J96" s="25"/>
      <c r="K96" s="26"/>
      <c r="L96" s="25"/>
      <c r="M96" s="19"/>
      <c r="N96" s="19"/>
      <c r="O96" s="63"/>
      <c r="P96" s="66"/>
      <c r="Q96" s="67"/>
      <c r="R96" s="67"/>
    </row>
    <row r="97" spans="1:18" ht="14.25" thickBot="1">
      <c r="A97" s="15" t="s">
        <v>109</v>
      </c>
      <c r="B97" s="74" t="s">
        <v>110</v>
      </c>
      <c r="C97" s="17" t="s">
        <v>14</v>
      </c>
      <c r="D97" s="18">
        <f t="shared" si="3"/>
        <v>3</v>
      </c>
      <c r="E97" s="75"/>
      <c r="F97" s="19"/>
      <c r="G97" s="24">
        <f>G98+G100</f>
        <v>3</v>
      </c>
      <c r="H97" s="25">
        <f>H98+H100</f>
        <v>345000</v>
      </c>
      <c r="I97" s="24"/>
      <c r="J97" s="25"/>
      <c r="K97" s="26"/>
      <c r="L97" s="25"/>
      <c r="M97" s="19"/>
      <c r="N97" s="19"/>
      <c r="O97" s="63"/>
      <c r="P97" s="64"/>
      <c r="Q97" s="65"/>
      <c r="R97" s="65"/>
    </row>
    <row r="98" spans="1:18" ht="27" thickBot="1">
      <c r="A98" s="22" t="s">
        <v>111</v>
      </c>
      <c r="B98" s="45" t="s">
        <v>96</v>
      </c>
      <c r="C98" s="24" t="s">
        <v>14</v>
      </c>
      <c r="D98" s="18">
        <f t="shared" si="3"/>
        <v>1</v>
      </c>
      <c r="E98" s="62"/>
      <c r="F98" s="25"/>
      <c r="G98" s="24">
        <f>G99</f>
        <v>1</v>
      </c>
      <c r="H98" s="25">
        <f>H99</f>
        <v>115000</v>
      </c>
      <c r="I98" s="24"/>
      <c r="J98" s="25"/>
      <c r="K98" s="26"/>
      <c r="L98" s="25"/>
      <c r="M98" s="19"/>
      <c r="N98" s="19"/>
      <c r="O98" s="63"/>
      <c r="P98" s="72"/>
      <c r="Q98" s="73"/>
      <c r="R98" s="73"/>
    </row>
    <row r="99" spans="1:18" ht="14.25" thickBot="1">
      <c r="A99" s="68"/>
      <c r="B99" s="45" t="s">
        <v>105</v>
      </c>
      <c r="C99" s="24" t="s">
        <v>14</v>
      </c>
      <c r="D99" s="18">
        <f t="shared" si="3"/>
        <v>1</v>
      </c>
      <c r="E99" s="62"/>
      <c r="F99" s="25"/>
      <c r="G99" s="24">
        <v>1</v>
      </c>
      <c r="H99" s="25">
        <v>115000</v>
      </c>
      <c r="I99" s="24"/>
      <c r="J99" s="25"/>
      <c r="K99" s="26"/>
      <c r="L99" s="25"/>
      <c r="M99" s="19"/>
      <c r="N99" s="19"/>
      <c r="O99" s="63"/>
      <c r="P99" s="66"/>
      <c r="Q99" s="67"/>
      <c r="R99" s="67"/>
    </row>
    <row r="100" spans="1:18" ht="27" thickBot="1">
      <c r="A100" s="22" t="s">
        <v>112</v>
      </c>
      <c r="B100" s="76" t="s">
        <v>107</v>
      </c>
      <c r="C100" s="15" t="s">
        <v>14</v>
      </c>
      <c r="D100" s="18">
        <f t="shared" si="3"/>
        <v>2</v>
      </c>
      <c r="E100" s="75"/>
      <c r="F100" s="19"/>
      <c r="G100" s="17">
        <f>G101</f>
        <v>2</v>
      </c>
      <c r="H100" s="19">
        <f>H101</f>
        <v>230000</v>
      </c>
      <c r="I100" s="24"/>
      <c r="J100" s="25"/>
      <c r="K100" s="26"/>
      <c r="L100" s="25"/>
      <c r="M100" s="19"/>
      <c r="N100" s="19"/>
      <c r="O100" s="63"/>
      <c r="P100" s="72"/>
      <c r="Q100" s="73"/>
      <c r="R100" s="73"/>
    </row>
    <row r="101" spans="1:18" ht="14.25" thickBot="1">
      <c r="A101" s="68"/>
      <c r="B101" s="45" t="s">
        <v>108</v>
      </c>
      <c r="C101" s="24" t="s">
        <v>14</v>
      </c>
      <c r="D101" s="18">
        <f t="shared" si="3"/>
        <v>2</v>
      </c>
      <c r="E101" s="62"/>
      <c r="F101" s="25"/>
      <c r="G101" s="24">
        <v>2</v>
      </c>
      <c r="H101" s="25">
        <v>230000</v>
      </c>
      <c r="I101" s="24"/>
      <c r="J101" s="25"/>
      <c r="K101" s="26"/>
      <c r="L101" s="25"/>
      <c r="M101" s="19"/>
      <c r="N101" s="19"/>
      <c r="O101" s="63"/>
      <c r="P101" s="66"/>
      <c r="Q101" s="67"/>
      <c r="R101" s="67"/>
    </row>
    <row r="102" spans="1:18" ht="27.75" thickBot="1">
      <c r="A102" s="9">
        <v>6</v>
      </c>
      <c r="B102" s="49" t="s">
        <v>113</v>
      </c>
      <c r="C102" s="50" t="s">
        <v>14</v>
      </c>
      <c r="D102" s="50">
        <f t="shared" si="3"/>
        <v>1</v>
      </c>
      <c r="E102" s="50"/>
      <c r="F102" s="51"/>
      <c r="G102" s="50">
        <f>G103</f>
        <v>1</v>
      </c>
      <c r="H102" s="51">
        <f>H103</f>
        <v>280000</v>
      </c>
      <c r="I102" s="50"/>
      <c r="J102" s="51"/>
      <c r="K102" s="52"/>
      <c r="L102" s="51"/>
      <c r="M102" s="19"/>
      <c r="N102" s="19"/>
      <c r="O102" s="51">
        <f>ROUND(F102+H102+J102,2)</f>
        <v>280000</v>
      </c>
      <c r="P102" s="59"/>
      <c r="Q102" s="60"/>
      <c r="R102" s="60"/>
    </row>
    <row r="103" spans="1:18" ht="14.25" thickBot="1">
      <c r="A103" s="77" t="s">
        <v>114</v>
      </c>
      <c r="B103" s="45" t="s">
        <v>18</v>
      </c>
      <c r="C103" s="24" t="s">
        <v>14</v>
      </c>
      <c r="D103" s="18">
        <f t="shared" si="3"/>
        <v>1</v>
      </c>
      <c r="E103" s="24"/>
      <c r="F103" s="25"/>
      <c r="G103" s="24">
        <f>G104</f>
        <v>1</v>
      </c>
      <c r="H103" s="25">
        <f>H104</f>
        <v>280000</v>
      </c>
      <c r="I103" s="62"/>
      <c r="J103" s="63"/>
      <c r="K103" s="69"/>
      <c r="L103" s="63"/>
      <c r="M103" s="19"/>
      <c r="N103" s="19"/>
      <c r="O103" s="63"/>
      <c r="P103" s="64"/>
      <c r="Q103" s="65"/>
      <c r="R103" s="65"/>
    </row>
    <row r="104" spans="1:18" ht="39.75" thickBot="1">
      <c r="A104" s="22"/>
      <c r="B104" s="45" t="s">
        <v>115</v>
      </c>
      <c r="C104" s="24" t="s">
        <v>14</v>
      </c>
      <c r="D104" s="18">
        <f t="shared" si="3"/>
        <v>1</v>
      </c>
      <c r="E104" s="24"/>
      <c r="F104" s="25"/>
      <c r="G104" s="24">
        <v>1</v>
      </c>
      <c r="H104" s="25">
        <v>280000</v>
      </c>
      <c r="I104" s="24"/>
      <c r="J104" s="25"/>
      <c r="K104" s="26"/>
      <c r="L104" s="25"/>
      <c r="M104" s="19"/>
      <c r="N104" s="19"/>
      <c r="O104" s="25"/>
      <c r="P104" s="46"/>
      <c r="Q104" s="47"/>
      <c r="R104" s="47"/>
    </row>
    <row r="105" spans="1:18" ht="13.5" thickBot="1">
      <c r="A105" s="10">
        <v>7</v>
      </c>
      <c r="B105" s="78" t="s">
        <v>116</v>
      </c>
      <c r="C105" s="50" t="s">
        <v>14</v>
      </c>
      <c r="D105" s="50">
        <f t="shared" si="3"/>
        <v>3</v>
      </c>
      <c r="E105" s="50"/>
      <c r="F105" s="51"/>
      <c r="G105" s="50">
        <f>G106</f>
        <v>2</v>
      </c>
      <c r="H105" s="51">
        <f>H106</f>
        <v>2400</v>
      </c>
      <c r="I105" s="50">
        <f>I109</f>
        <v>1</v>
      </c>
      <c r="J105" s="51">
        <f>ROUND(J109,2)</f>
        <v>1820</v>
      </c>
      <c r="K105" s="52"/>
      <c r="L105" s="51"/>
      <c r="M105" s="79"/>
      <c r="N105" s="19"/>
      <c r="O105" s="51">
        <f>ROUND(H105+J105+F105,2)</f>
        <v>4220</v>
      </c>
      <c r="P105" s="59"/>
      <c r="Q105" s="60"/>
      <c r="R105" s="60"/>
    </row>
    <row r="106" spans="1:18" ht="27.75" thickBot="1">
      <c r="A106" s="22" t="s">
        <v>117</v>
      </c>
      <c r="B106" s="42" t="s">
        <v>144</v>
      </c>
      <c r="C106" s="24" t="s">
        <v>14</v>
      </c>
      <c r="D106" s="18">
        <f t="shared" si="3"/>
        <v>2</v>
      </c>
      <c r="E106" s="24"/>
      <c r="F106" s="25"/>
      <c r="G106" s="24">
        <f>SUM(G107:G108)</f>
        <v>2</v>
      </c>
      <c r="H106" s="25">
        <f>SUM(H107:H108)</f>
        <v>2400</v>
      </c>
      <c r="I106" s="24"/>
      <c r="J106" s="63"/>
      <c r="K106" s="69"/>
      <c r="L106" s="63"/>
      <c r="M106" s="19"/>
      <c r="N106" s="19"/>
      <c r="O106" s="63"/>
      <c r="P106" s="64"/>
      <c r="Q106" s="65"/>
      <c r="R106" s="65"/>
    </row>
    <row r="107" spans="1:18" ht="27" thickBot="1">
      <c r="A107" s="22"/>
      <c r="B107" s="45" t="s">
        <v>118</v>
      </c>
      <c r="C107" s="24" t="s">
        <v>14</v>
      </c>
      <c r="D107" s="18">
        <f t="shared" si="3"/>
        <v>1</v>
      </c>
      <c r="E107" s="24"/>
      <c r="F107" s="25"/>
      <c r="G107" s="24">
        <v>1</v>
      </c>
      <c r="H107" s="25">
        <v>1200</v>
      </c>
      <c r="I107" s="24"/>
      <c r="J107" s="63"/>
      <c r="K107" s="69"/>
      <c r="L107" s="63"/>
      <c r="M107" s="19"/>
      <c r="N107" s="19"/>
      <c r="O107" s="63"/>
      <c r="P107" s="66"/>
      <c r="Q107" s="67"/>
      <c r="R107" s="67"/>
    </row>
    <row r="108" spans="1:18" ht="27" thickBot="1">
      <c r="A108" s="22"/>
      <c r="B108" s="45" t="s">
        <v>119</v>
      </c>
      <c r="C108" s="24" t="s">
        <v>14</v>
      </c>
      <c r="D108" s="18">
        <f t="shared" si="3"/>
        <v>1</v>
      </c>
      <c r="E108" s="24"/>
      <c r="F108" s="25"/>
      <c r="G108" s="24">
        <v>1</v>
      </c>
      <c r="H108" s="25">
        <v>1200</v>
      </c>
      <c r="I108" s="24"/>
      <c r="J108" s="63"/>
      <c r="K108" s="69"/>
      <c r="L108" s="63"/>
      <c r="M108" s="19"/>
      <c r="N108" s="19"/>
      <c r="O108" s="63"/>
      <c r="P108" s="66"/>
      <c r="Q108" s="67"/>
      <c r="R108" s="67"/>
    </row>
    <row r="109" spans="1:18" ht="14.25" thickBot="1">
      <c r="A109" s="80" t="s">
        <v>120</v>
      </c>
      <c r="B109" s="74" t="s">
        <v>44</v>
      </c>
      <c r="C109" s="17" t="s">
        <v>14</v>
      </c>
      <c r="D109" s="18">
        <f t="shared" si="3"/>
        <v>1</v>
      </c>
      <c r="E109" s="17"/>
      <c r="F109" s="19"/>
      <c r="G109" s="81"/>
      <c r="H109" s="82"/>
      <c r="I109" s="83">
        <f>I110</f>
        <v>1</v>
      </c>
      <c r="J109" s="82">
        <f>ROUND(J110,2)</f>
        <v>1820</v>
      </c>
      <c r="K109" s="20"/>
      <c r="L109" s="19"/>
      <c r="M109" s="19"/>
      <c r="N109" s="19"/>
      <c r="O109" s="61"/>
      <c r="P109" s="64"/>
      <c r="Q109" s="65"/>
      <c r="R109" s="65"/>
    </row>
    <row r="110" spans="1:18" ht="27" thickBot="1">
      <c r="A110" s="84"/>
      <c r="B110" s="85" t="s">
        <v>121</v>
      </c>
      <c r="C110" s="86" t="s">
        <v>14</v>
      </c>
      <c r="D110" s="18">
        <f t="shared" si="3"/>
        <v>1</v>
      </c>
      <c r="E110" s="86"/>
      <c r="F110" s="87"/>
      <c r="G110" s="88"/>
      <c r="H110" s="89"/>
      <c r="I110" s="90">
        <v>1</v>
      </c>
      <c r="J110" s="89">
        <f>ROUND(1820,2)</f>
        <v>1820</v>
      </c>
      <c r="K110" s="26"/>
      <c r="L110" s="25"/>
      <c r="M110" s="25"/>
      <c r="N110" s="25"/>
      <c r="O110" s="91"/>
      <c r="P110" s="66"/>
      <c r="Q110" s="67"/>
      <c r="R110" s="67"/>
    </row>
    <row r="111" spans="1:18" ht="13.5" thickBot="1">
      <c r="A111" s="92">
        <v>8</v>
      </c>
      <c r="B111" s="93" t="s">
        <v>122</v>
      </c>
      <c r="C111" s="5" t="s">
        <v>14</v>
      </c>
      <c r="D111" s="50">
        <f t="shared" si="3"/>
        <v>4</v>
      </c>
      <c r="E111" s="5">
        <f>SUM(E112:E115)</f>
        <v>4</v>
      </c>
      <c r="F111" s="6">
        <f>SUM(F112:F115)</f>
        <v>572960</v>
      </c>
      <c r="G111" s="94"/>
      <c r="H111" s="6"/>
      <c r="I111" s="94"/>
      <c r="J111" s="6"/>
      <c r="K111" s="95"/>
      <c r="L111" s="96"/>
      <c r="M111" s="19"/>
      <c r="N111" s="19"/>
      <c r="O111" s="97">
        <f>ROUND(F111+H111+J111,2)</f>
        <v>572960</v>
      </c>
      <c r="P111" s="59"/>
      <c r="Q111" s="60"/>
      <c r="R111" s="60"/>
    </row>
    <row r="112" spans="1:18" ht="27" thickBot="1">
      <c r="A112" s="98" t="s">
        <v>123</v>
      </c>
      <c r="B112" s="99" t="s">
        <v>124</v>
      </c>
      <c r="C112" s="15" t="s">
        <v>14</v>
      </c>
      <c r="D112" s="18">
        <f t="shared" si="3"/>
        <v>1</v>
      </c>
      <c r="E112" s="15">
        <v>1</v>
      </c>
      <c r="F112" s="82">
        <v>428960</v>
      </c>
      <c r="G112" s="100"/>
      <c r="H112" s="101"/>
      <c r="I112" s="100"/>
      <c r="J112" s="101"/>
      <c r="K112" s="102"/>
      <c r="L112" s="61"/>
      <c r="M112" s="19"/>
      <c r="N112" s="19"/>
      <c r="O112" s="103"/>
      <c r="P112" s="55"/>
      <c r="Q112" s="56"/>
      <c r="R112" s="56"/>
    </row>
    <row r="113" spans="1:18" ht="14.25" thickBot="1">
      <c r="A113" s="98" t="s">
        <v>125</v>
      </c>
      <c r="B113" s="104" t="s">
        <v>126</v>
      </c>
      <c r="C113" s="22" t="s">
        <v>14</v>
      </c>
      <c r="D113" s="18">
        <f t="shared" si="3"/>
        <v>1</v>
      </c>
      <c r="E113" s="22">
        <v>1</v>
      </c>
      <c r="F113" s="89">
        <v>48000</v>
      </c>
      <c r="G113" s="105"/>
      <c r="H113" s="106"/>
      <c r="I113" s="105"/>
      <c r="J113" s="106"/>
      <c r="K113" s="69"/>
      <c r="L113" s="63"/>
      <c r="M113" s="19"/>
      <c r="N113" s="19"/>
      <c r="O113" s="107"/>
      <c r="P113" s="55"/>
      <c r="Q113" s="56"/>
      <c r="R113" s="56"/>
    </row>
    <row r="114" spans="1:18" ht="27" thickBot="1">
      <c r="A114" s="98" t="s">
        <v>127</v>
      </c>
      <c r="B114" s="99" t="s">
        <v>128</v>
      </c>
      <c r="C114" s="15" t="s">
        <v>14</v>
      </c>
      <c r="D114" s="18">
        <f t="shared" si="3"/>
        <v>1</v>
      </c>
      <c r="E114" s="15">
        <v>1</v>
      </c>
      <c r="F114" s="82">
        <v>36000</v>
      </c>
      <c r="G114" s="100"/>
      <c r="H114" s="101"/>
      <c r="I114" s="100"/>
      <c r="J114" s="101"/>
      <c r="K114" s="102"/>
      <c r="L114" s="61"/>
      <c r="M114" s="19"/>
      <c r="N114" s="19"/>
      <c r="O114" s="103"/>
      <c r="P114" s="55"/>
      <c r="Q114" s="56"/>
      <c r="R114" s="56"/>
    </row>
    <row r="115" spans="1:18" ht="14.25" thickBot="1">
      <c r="A115" s="98" t="s">
        <v>129</v>
      </c>
      <c r="B115" s="104" t="s">
        <v>130</v>
      </c>
      <c r="C115" s="22" t="s">
        <v>14</v>
      </c>
      <c r="D115" s="18">
        <f t="shared" si="3"/>
        <v>1</v>
      </c>
      <c r="E115" s="22">
        <v>1</v>
      </c>
      <c r="F115" s="108">
        <v>60000</v>
      </c>
      <c r="G115" s="109"/>
      <c r="H115" s="110"/>
      <c r="I115" s="15"/>
      <c r="J115" s="111"/>
      <c r="K115" s="112"/>
      <c r="L115" s="101"/>
      <c r="M115" s="82"/>
      <c r="N115" s="19"/>
      <c r="O115" s="113"/>
      <c r="P115" s="55"/>
      <c r="Q115" s="56"/>
      <c r="R115" s="56"/>
    </row>
    <row r="116" spans="1:18" ht="14.25" thickBot="1">
      <c r="A116" s="114">
        <v>9</v>
      </c>
      <c r="B116" s="115" t="s">
        <v>131</v>
      </c>
      <c r="C116" s="116" t="s">
        <v>14</v>
      </c>
      <c r="D116" s="50">
        <f t="shared" si="3"/>
        <v>1</v>
      </c>
      <c r="E116" s="15"/>
      <c r="F116" s="117"/>
      <c r="G116" s="15"/>
      <c r="H116" s="117"/>
      <c r="I116" s="116">
        <f>I117</f>
        <v>1</v>
      </c>
      <c r="J116" s="118">
        <f>ROUND(J117,2)</f>
        <v>22677</v>
      </c>
      <c r="K116" s="119"/>
      <c r="L116" s="106"/>
      <c r="M116" s="120"/>
      <c r="N116" s="79"/>
      <c r="O116" s="121">
        <f>ROUND(F116+H116+J116,2)</f>
        <v>22677</v>
      </c>
      <c r="P116" s="122"/>
      <c r="Q116" s="123"/>
      <c r="R116" s="123"/>
    </row>
    <row r="117" spans="1:18" ht="14.25" thickBot="1">
      <c r="A117" s="124" t="s">
        <v>132</v>
      </c>
      <c r="B117" s="125" t="s">
        <v>44</v>
      </c>
      <c r="C117" s="126" t="s">
        <v>14</v>
      </c>
      <c r="D117" s="18">
        <f t="shared" si="3"/>
        <v>1</v>
      </c>
      <c r="E117" s="126"/>
      <c r="F117" s="127"/>
      <c r="G117" s="126"/>
      <c r="H117" s="127"/>
      <c r="I117" s="126">
        <f>I118</f>
        <v>1</v>
      </c>
      <c r="J117" s="127">
        <f>ROUND(J118,2)</f>
        <v>22677</v>
      </c>
      <c r="K117" s="112"/>
      <c r="L117" s="101"/>
      <c r="M117" s="82"/>
      <c r="N117" s="87"/>
      <c r="O117" s="128"/>
      <c r="P117" s="55"/>
      <c r="Q117" s="56"/>
      <c r="R117" s="56"/>
    </row>
    <row r="118" spans="1:18" ht="27" thickBot="1">
      <c r="A118" s="129"/>
      <c r="B118" s="99" t="s">
        <v>121</v>
      </c>
      <c r="C118" s="15" t="s">
        <v>14</v>
      </c>
      <c r="D118" s="18">
        <f t="shared" si="3"/>
        <v>1</v>
      </c>
      <c r="E118" s="15"/>
      <c r="F118" s="117"/>
      <c r="G118" s="15"/>
      <c r="H118" s="117"/>
      <c r="I118" s="15">
        <v>1</v>
      </c>
      <c r="J118" s="101">
        <f>ROUND(22677,2)</f>
        <v>22677</v>
      </c>
      <c r="K118" s="102"/>
      <c r="L118" s="101"/>
      <c r="M118" s="82"/>
      <c r="N118" s="19"/>
      <c r="O118" s="130"/>
      <c r="P118" s="46"/>
      <c r="Q118" s="47"/>
      <c r="R118" s="47"/>
    </row>
    <row r="119" spans="1:18" ht="27" thickBot="1">
      <c r="A119" s="92" t="s">
        <v>133</v>
      </c>
      <c r="B119" s="115" t="s">
        <v>134</v>
      </c>
      <c r="C119" s="116" t="s">
        <v>14</v>
      </c>
      <c r="D119" s="50">
        <f t="shared" si="3"/>
        <v>1</v>
      </c>
      <c r="E119" s="116"/>
      <c r="F119" s="120"/>
      <c r="G119" s="116"/>
      <c r="H119" s="120"/>
      <c r="I119" s="116"/>
      <c r="J119" s="120"/>
      <c r="K119" s="131">
        <v>1</v>
      </c>
      <c r="L119" s="120">
        <f>ROUND(L120,2)</f>
        <v>939196.44</v>
      </c>
      <c r="M119" s="120">
        <f>ROUND(M120,2)</f>
        <v>938.44</v>
      </c>
      <c r="N119" s="120">
        <f>ROUND(N120,2)</f>
        <v>938258</v>
      </c>
      <c r="O119" s="120">
        <f>ROUND(F119+H119+J119+L119,2)</f>
        <v>939196.44</v>
      </c>
      <c r="P119" s="27"/>
      <c r="Q119" s="27"/>
      <c r="R119" s="27"/>
    </row>
    <row r="120" spans="1:18" ht="61.5" customHeight="1" thickBot="1">
      <c r="A120" s="132" t="s">
        <v>135</v>
      </c>
      <c r="B120" s="39" t="s">
        <v>30</v>
      </c>
      <c r="C120" s="15" t="s">
        <v>14</v>
      </c>
      <c r="D120" s="24">
        <f t="shared" si="3"/>
        <v>1</v>
      </c>
      <c r="E120" s="15"/>
      <c r="F120" s="82"/>
      <c r="G120" s="15"/>
      <c r="H120" s="82"/>
      <c r="I120" s="15"/>
      <c r="J120" s="82"/>
      <c r="K120" s="20">
        <v>1</v>
      </c>
      <c r="L120" s="19">
        <f>ROUND(M120+N120,2)</f>
        <v>939196.44</v>
      </c>
      <c r="M120" s="19">
        <f>ROUND(938.44,2)</f>
        <v>938.44</v>
      </c>
      <c r="N120" s="19">
        <f>ROUND(938258,2)</f>
        <v>938258</v>
      </c>
      <c r="O120" s="167"/>
      <c r="P120" s="169"/>
      <c r="Q120" s="38"/>
      <c r="R120" s="38"/>
    </row>
    <row r="121" spans="1:18" ht="13.5" thickBot="1">
      <c r="A121" s="133" t="s">
        <v>136</v>
      </c>
      <c r="B121" s="134" t="s">
        <v>137</v>
      </c>
      <c r="C121" s="116" t="s">
        <v>14</v>
      </c>
      <c r="D121" s="50">
        <f t="shared" si="3"/>
        <v>3</v>
      </c>
      <c r="E121" s="135"/>
      <c r="F121" s="136"/>
      <c r="G121" s="135"/>
      <c r="H121" s="137"/>
      <c r="I121" s="135">
        <f>I122</f>
        <v>3</v>
      </c>
      <c r="J121" s="137">
        <f>ROUND(J122,2)</f>
        <v>26338.27</v>
      </c>
      <c r="K121" s="138"/>
      <c r="L121" s="137"/>
      <c r="M121" s="137"/>
      <c r="N121" s="137"/>
      <c r="O121" s="168">
        <f>ROUND(F121+H121+J121,2)</f>
        <v>26338.27</v>
      </c>
      <c r="P121" s="170"/>
      <c r="Q121" s="60"/>
      <c r="R121" s="60"/>
    </row>
    <row r="122" spans="1:18" ht="27" thickBot="1">
      <c r="A122" s="139" t="s">
        <v>138</v>
      </c>
      <c r="B122" s="140" t="s">
        <v>124</v>
      </c>
      <c r="C122" s="15" t="s">
        <v>14</v>
      </c>
      <c r="D122" s="18">
        <f t="shared" si="3"/>
        <v>3</v>
      </c>
      <c r="E122" s="17"/>
      <c r="F122" s="82"/>
      <c r="G122" s="17"/>
      <c r="H122" s="19"/>
      <c r="I122" s="17">
        <f>SUM(I123:I125)</f>
        <v>3</v>
      </c>
      <c r="J122" s="19">
        <f>ROUND(SUM(J123:J125),2)</f>
        <v>26338.27</v>
      </c>
      <c r="K122" s="20"/>
      <c r="L122" s="19"/>
      <c r="M122" s="19"/>
      <c r="N122" s="19"/>
      <c r="O122" s="167"/>
      <c r="P122" s="171"/>
      <c r="Q122" s="56"/>
      <c r="R122" s="56"/>
    </row>
    <row r="123" spans="1:18" ht="13.5" thickBot="1">
      <c r="A123" s="139"/>
      <c r="B123" s="140" t="s">
        <v>139</v>
      </c>
      <c r="C123" s="15" t="s">
        <v>14</v>
      </c>
      <c r="D123" s="18">
        <f t="shared" si="3"/>
        <v>1</v>
      </c>
      <c r="E123" s="17"/>
      <c r="F123" s="82"/>
      <c r="G123" s="17"/>
      <c r="H123" s="19"/>
      <c r="I123" s="17">
        <v>1</v>
      </c>
      <c r="J123" s="19">
        <f>ROUND(6286.5,2)</f>
        <v>6286.5</v>
      </c>
      <c r="K123" s="141"/>
      <c r="L123" s="87"/>
      <c r="M123" s="142"/>
      <c r="N123" s="19"/>
      <c r="O123" s="167"/>
      <c r="P123" s="146"/>
      <c r="Q123" s="47"/>
      <c r="R123" s="47"/>
    </row>
    <row r="124" spans="1:18" ht="13.5" thickBot="1">
      <c r="A124" s="139"/>
      <c r="B124" s="140" t="s">
        <v>140</v>
      </c>
      <c r="C124" s="15" t="s">
        <v>14</v>
      </c>
      <c r="D124" s="18">
        <f t="shared" si="3"/>
        <v>1</v>
      </c>
      <c r="E124" s="17"/>
      <c r="F124" s="82"/>
      <c r="G124" s="17"/>
      <c r="H124" s="19"/>
      <c r="I124" s="17">
        <v>1</v>
      </c>
      <c r="J124" s="19">
        <f>ROUND(15176,2)</f>
        <v>15176</v>
      </c>
      <c r="K124" s="20"/>
      <c r="L124" s="19"/>
      <c r="M124" s="143"/>
      <c r="N124" s="19"/>
      <c r="O124" s="167"/>
      <c r="P124" s="146"/>
      <c r="Q124" s="47"/>
      <c r="R124" s="47"/>
    </row>
    <row r="125" spans="1:18" ht="13.5" thickBot="1">
      <c r="A125" s="132"/>
      <c r="B125" s="144" t="s">
        <v>76</v>
      </c>
      <c r="C125" s="15" t="s">
        <v>14</v>
      </c>
      <c r="D125" s="18">
        <f t="shared" si="3"/>
        <v>1</v>
      </c>
      <c r="E125" s="24"/>
      <c r="F125" s="89"/>
      <c r="G125" s="24"/>
      <c r="H125" s="82"/>
      <c r="I125" s="17">
        <v>1</v>
      </c>
      <c r="J125" s="19">
        <f>ROUND(4875.77,2)</f>
        <v>4875.77</v>
      </c>
      <c r="K125" s="20"/>
      <c r="L125" s="19"/>
      <c r="M125" s="145"/>
      <c r="N125" s="19"/>
      <c r="O125" s="167"/>
      <c r="P125" s="146"/>
      <c r="Q125" s="47"/>
      <c r="R125" s="47"/>
    </row>
    <row r="126" spans="1:18" ht="30.75" customHeight="1" thickBot="1">
      <c r="A126" s="133" t="s">
        <v>146</v>
      </c>
      <c r="B126" s="134" t="s">
        <v>147</v>
      </c>
      <c r="C126" s="116" t="s">
        <v>14</v>
      </c>
      <c r="D126" s="175">
        <f t="shared" si="3"/>
        <v>1</v>
      </c>
      <c r="E126" s="135"/>
      <c r="F126" s="136"/>
      <c r="G126" s="135"/>
      <c r="H126" s="137"/>
      <c r="I126" s="135"/>
      <c r="J126" s="137"/>
      <c r="K126" s="138">
        <f>K127</f>
        <v>1</v>
      </c>
      <c r="L126" s="137">
        <f>ROUND(L127,2)</f>
        <v>4718490</v>
      </c>
      <c r="M126" s="137">
        <f>ROUND(M127,2)</f>
        <v>47184.9</v>
      </c>
      <c r="N126" s="137">
        <f>ROUND(N127,2)</f>
        <v>4671305.1</v>
      </c>
      <c r="O126" s="168">
        <f>ROUND(F126+H126+J126+L126,2)</f>
        <v>4718490</v>
      </c>
      <c r="P126" s="170"/>
      <c r="Q126" s="60"/>
      <c r="R126" s="60"/>
    </row>
    <row r="127" spans="1:18" ht="30" customHeight="1" thickBot="1">
      <c r="A127" s="139"/>
      <c r="B127" s="172" t="s">
        <v>22</v>
      </c>
      <c r="C127" s="15" t="s">
        <v>14</v>
      </c>
      <c r="D127" s="18">
        <f t="shared" si="3"/>
        <v>1</v>
      </c>
      <c r="E127" s="17"/>
      <c r="F127" s="82"/>
      <c r="G127" s="17"/>
      <c r="H127" s="19"/>
      <c r="I127" s="17"/>
      <c r="J127" s="19"/>
      <c r="K127" s="20">
        <v>1</v>
      </c>
      <c r="L127" s="120">
        <f>ROUND(4718490,2)</f>
        <v>4718490</v>
      </c>
      <c r="M127" s="19">
        <f>ROUND(L127*0.01,2)</f>
        <v>47184.9</v>
      </c>
      <c r="N127" s="19">
        <f>ROUND(L127-M127,2)</f>
        <v>4671305.1</v>
      </c>
      <c r="O127" s="173"/>
      <c r="P127" s="171"/>
      <c r="Q127" s="56"/>
      <c r="R127" s="56"/>
    </row>
    <row r="128" spans="1:18" ht="13.5" thickBot="1">
      <c r="A128" s="133" t="s">
        <v>148</v>
      </c>
      <c r="B128" s="134" t="s">
        <v>149</v>
      </c>
      <c r="C128" s="116" t="s">
        <v>14</v>
      </c>
      <c r="D128" s="175">
        <f t="shared" si="3"/>
        <v>265</v>
      </c>
      <c r="E128" s="135"/>
      <c r="F128" s="136"/>
      <c r="G128" s="135"/>
      <c r="H128" s="137"/>
      <c r="I128" s="135"/>
      <c r="J128" s="137"/>
      <c r="K128" s="138">
        <f>K129</f>
        <v>265</v>
      </c>
      <c r="L128" s="137">
        <f>ROUND(L129,2)</f>
        <v>14201928</v>
      </c>
      <c r="M128" s="137">
        <f>ROUND(M129,2)</f>
        <v>142019.28</v>
      </c>
      <c r="N128" s="137">
        <f>ROUND(N129,2)</f>
        <v>14059908.72</v>
      </c>
      <c r="O128" s="168">
        <f>ROUND(F128+H128+J128+L128,2)</f>
        <v>14201928</v>
      </c>
      <c r="P128" s="170"/>
      <c r="Q128" s="60"/>
      <c r="R128" s="60"/>
    </row>
    <row r="129" spans="1:18" ht="27" thickBot="1">
      <c r="A129" s="139"/>
      <c r="B129" s="172" t="s">
        <v>22</v>
      </c>
      <c r="C129" s="15" t="s">
        <v>14</v>
      </c>
      <c r="D129" s="18">
        <f t="shared" si="3"/>
        <v>265</v>
      </c>
      <c r="E129" s="17"/>
      <c r="F129" s="82"/>
      <c r="G129" s="17"/>
      <c r="H129" s="19"/>
      <c r="I129" s="17"/>
      <c r="J129" s="19"/>
      <c r="K129" s="20">
        <v>265</v>
      </c>
      <c r="L129" s="120">
        <f>ROUND(14201928,2)</f>
        <v>14201928</v>
      </c>
      <c r="M129" s="19">
        <f>ROUND(L129*0.01,2)</f>
        <v>142019.28</v>
      </c>
      <c r="N129" s="19">
        <f>ROUND(L129-M129,2)</f>
        <v>14059908.72</v>
      </c>
      <c r="O129" s="173"/>
      <c r="P129" s="171"/>
      <c r="Q129" s="56"/>
      <c r="R129" s="56"/>
    </row>
    <row r="130" spans="1:18" ht="27" customHeight="1" thickBot="1">
      <c r="A130" s="133" t="s">
        <v>150</v>
      </c>
      <c r="B130" s="134" t="s">
        <v>151</v>
      </c>
      <c r="C130" s="116" t="s">
        <v>14</v>
      </c>
      <c r="D130" s="175">
        <f t="shared" si="3"/>
        <v>193</v>
      </c>
      <c r="E130" s="135"/>
      <c r="F130" s="136"/>
      <c r="G130" s="135"/>
      <c r="H130" s="137"/>
      <c r="I130" s="135"/>
      <c r="J130" s="137"/>
      <c r="K130" s="138">
        <f>K131</f>
        <v>193</v>
      </c>
      <c r="L130" s="137">
        <f>ROUND(L131,2)</f>
        <v>231330</v>
      </c>
      <c r="M130" s="137">
        <f>ROUND(M131,2)</f>
        <v>2313.3</v>
      </c>
      <c r="N130" s="137">
        <f>ROUND(N131,2)</f>
        <v>229016.7</v>
      </c>
      <c r="O130" s="168">
        <f>ROUND(F130+H130+J130+L130,2)</f>
        <v>231330</v>
      </c>
      <c r="P130" s="170"/>
      <c r="Q130" s="60"/>
      <c r="R130" s="60"/>
    </row>
    <row r="131" spans="1:18" ht="27" thickBot="1">
      <c r="A131" s="139"/>
      <c r="B131" s="172" t="s">
        <v>22</v>
      </c>
      <c r="C131" s="15" t="s">
        <v>14</v>
      </c>
      <c r="D131" s="18">
        <f t="shared" si="3"/>
        <v>193</v>
      </c>
      <c r="E131" s="17"/>
      <c r="F131" s="82"/>
      <c r="G131" s="17"/>
      <c r="H131" s="19"/>
      <c r="I131" s="17"/>
      <c r="J131" s="19"/>
      <c r="K131" s="20">
        <v>193</v>
      </c>
      <c r="L131" s="120">
        <f>ROUND(231330,2)</f>
        <v>231330</v>
      </c>
      <c r="M131" s="19">
        <f>ROUND(L131*0.01,2)</f>
        <v>2313.3</v>
      </c>
      <c r="N131" s="19">
        <f>ROUND(L131-M131,2)</f>
        <v>229016.7</v>
      </c>
      <c r="O131" s="167"/>
      <c r="P131" s="171"/>
      <c r="Q131" s="56"/>
      <c r="R131" s="56"/>
    </row>
    <row r="132" spans="1:18" ht="13.5" thickBot="1">
      <c r="A132" s="133" t="s">
        <v>152</v>
      </c>
      <c r="B132" s="134" t="s">
        <v>153</v>
      </c>
      <c r="C132" s="116" t="s">
        <v>14</v>
      </c>
      <c r="D132" s="175">
        <f t="shared" si="3"/>
        <v>193</v>
      </c>
      <c r="E132" s="135"/>
      <c r="F132" s="136"/>
      <c r="G132" s="135"/>
      <c r="H132" s="137"/>
      <c r="I132" s="135"/>
      <c r="J132" s="137"/>
      <c r="K132" s="138">
        <f>K133</f>
        <v>193</v>
      </c>
      <c r="L132" s="137">
        <f>ROUND(L133,2)</f>
        <v>5000000</v>
      </c>
      <c r="M132" s="137">
        <f>ROUND(M133,2)</f>
        <v>50000</v>
      </c>
      <c r="N132" s="137">
        <f>ROUND(N133,2)</f>
        <v>4950000</v>
      </c>
      <c r="O132" s="168">
        <f>ROUND(F132+H132+J132+L132,2)</f>
        <v>5000000</v>
      </c>
      <c r="P132" s="170"/>
      <c r="Q132" s="60"/>
      <c r="R132" s="60"/>
    </row>
    <row r="133" spans="1:18" ht="27" thickBot="1">
      <c r="A133" s="139"/>
      <c r="B133" s="172" t="s">
        <v>22</v>
      </c>
      <c r="C133" s="15" t="s">
        <v>14</v>
      </c>
      <c r="D133" s="18">
        <f t="shared" si="3"/>
        <v>193</v>
      </c>
      <c r="E133" s="17"/>
      <c r="F133" s="82"/>
      <c r="G133" s="17"/>
      <c r="H133" s="19"/>
      <c r="I133" s="17"/>
      <c r="J133" s="19"/>
      <c r="K133" s="20">
        <v>193</v>
      </c>
      <c r="L133" s="120">
        <f>ROUND(5000000,2)</f>
        <v>5000000</v>
      </c>
      <c r="M133" s="19">
        <f>ROUND(L133*0.01,2)</f>
        <v>50000</v>
      </c>
      <c r="N133" s="19">
        <f>ROUND(L133-M133,2)</f>
        <v>4950000</v>
      </c>
      <c r="O133" s="167"/>
      <c r="P133" s="171"/>
      <c r="Q133" s="56"/>
      <c r="R133" s="56"/>
    </row>
    <row r="134" spans="1:18" ht="27" thickBot="1">
      <c r="A134" s="133" t="s">
        <v>154</v>
      </c>
      <c r="B134" s="134" t="s">
        <v>155</v>
      </c>
      <c r="C134" s="116" t="s">
        <v>14</v>
      </c>
      <c r="D134" s="175">
        <f t="shared" si="3"/>
        <v>51</v>
      </c>
      <c r="E134" s="135"/>
      <c r="F134" s="136"/>
      <c r="G134" s="135"/>
      <c r="H134" s="137"/>
      <c r="I134" s="135"/>
      <c r="J134" s="137"/>
      <c r="K134" s="138">
        <f>K135</f>
        <v>51</v>
      </c>
      <c r="L134" s="137">
        <f>ROUND(L135,2)</f>
        <v>84532</v>
      </c>
      <c r="M134" s="137">
        <f>ROUND(M135,2)</f>
        <v>845.32</v>
      </c>
      <c r="N134" s="137">
        <f>ROUND(N135,2)</f>
        <v>83686.68</v>
      </c>
      <c r="O134" s="168">
        <f>ROUND(F134+H134+J134+L134,2)</f>
        <v>84532</v>
      </c>
      <c r="P134" s="170"/>
      <c r="Q134" s="60"/>
      <c r="R134" s="60"/>
    </row>
    <row r="135" spans="1:18" ht="27" thickBot="1">
      <c r="A135" s="139"/>
      <c r="B135" s="172" t="s">
        <v>22</v>
      </c>
      <c r="C135" s="15" t="s">
        <v>14</v>
      </c>
      <c r="D135" s="18">
        <f t="shared" si="3"/>
        <v>51</v>
      </c>
      <c r="E135" s="17"/>
      <c r="F135" s="82"/>
      <c r="G135" s="17"/>
      <c r="H135" s="19"/>
      <c r="I135" s="17"/>
      <c r="J135" s="19"/>
      <c r="K135" s="20">
        <v>51</v>
      </c>
      <c r="L135" s="120">
        <f>ROUND(84532,2)</f>
        <v>84532</v>
      </c>
      <c r="M135" s="19">
        <f>ROUND(L135*0.01,2)</f>
        <v>845.32</v>
      </c>
      <c r="N135" s="19">
        <f>ROUND(L135-M135,2)</f>
        <v>83686.68</v>
      </c>
      <c r="O135" s="167"/>
      <c r="P135" s="171"/>
      <c r="Q135" s="56"/>
      <c r="R135" s="56"/>
    </row>
    <row r="136" spans="1:18" ht="14.25" thickBot="1">
      <c r="A136" s="147"/>
      <c r="B136" s="148" t="s">
        <v>141</v>
      </c>
      <c r="C136" s="135" t="s">
        <v>14</v>
      </c>
      <c r="D136" s="11">
        <f>D7+D75+D83+D86+D91+D102+D105+D111+D116+D119+D121+D126+D128+D130+D132+D134</f>
        <v>802</v>
      </c>
      <c r="E136" s="149"/>
      <c r="F136" s="12">
        <f>F7+F75+F86+F83+F91+F102+F105+F111+F116+F119+F121</f>
        <v>669337</v>
      </c>
      <c r="G136" s="150"/>
      <c r="H136" s="137">
        <f>H7+H75+H83+H86+H91+H102+H105+H111+H116+H119+H121</f>
        <v>1010000</v>
      </c>
      <c r="I136" s="135"/>
      <c r="J136" s="137">
        <f>ROUND(J7+J86+J105+J116+J121,2)</f>
        <v>1148161.77</v>
      </c>
      <c r="K136" s="138"/>
      <c r="L136" s="137">
        <f>ROUND(L7+L75+L83+L86+L91+L102+L105+L111+L116+L119+L126+L128+L130+L132+L134,2)</f>
        <v>27667731.52</v>
      </c>
      <c r="M136" s="91"/>
      <c r="N136" s="137"/>
      <c r="O136" s="136">
        <f>ROUND(O7+O75+O83+O86+O91+O102+O105+O111+O116+O119+O121+O126+O128+O130+O132+O134,2)</f>
        <v>30495230.29</v>
      </c>
      <c r="P136" s="151"/>
      <c r="Q136" s="2"/>
      <c r="R136" s="2"/>
    </row>
    <row r="137" spans="1:18" ht="14.25" thickBot="1">
      <c r="A137" s="152"/>
      <c r="B137" s="115" t="s">
        <v>142</v>
      </c>
      <c r="C137" s="153" t="s">
        <v>14</v>
      </c>
      <c r="D137" s="154"/>
      <c r="E137" s="154"/>
      <c r="F137" s="91">
        <v>669337</v>
      </c>
      <c r="G137" s="155"/>
      <c r="H137" s="156">
        <v>10000</v>
      </c>
      <c r="I137" s="154"/>
      <c r="J137" s="157">
        <f>ROUND(J86+J105+J116+J121+976.8,2)</f>
        <v>171938.47</v>
      </c>
      <c r="K137" s="158"/>
      <c r="L137" s="157">
        <f>ROUND(M7+M119+M126+M128+M130+M132+M134,2)</f>
        <v>245793.12</v>
      </c>
      <c r="M137" s="159">
        <f>ROUND(M7+M75+M83+M86+M91+M102+M105+M111+M116+M119+M121+M126+M128+M130+M132+M134,2)</f>
        <v>245793.12</v>
      </c>
      <c r="N137" s="103"/>
      <c r="O137" s="159">
        <f>ROUND(J137+H137+F137+L137,2)</f>
        <v>1097068.59</v>
      </c>
      <c r="P137" s="151"/>
      <c r="Q137" s="2"/>
      <c r="R137" s="2"/>
    </row>
    <row r="138" spans="1:18" ht="14.25" thickBot="1">
      <c r="A138" s="147"/>
      <c r="B138" s="160" t="s">
        <v>143</v>
      </c>
      <c r="C138" s="161" t="s">
        <v>14</v>
      </c>
      <c r="D138" s="162"/>
      <c r="E138" s="163"/>
      <c r="F138" s="159"/>
      <c r="G138" s="162"/>
      <c r="H138" s="159">
        <v>1000000</v>
      </c>
      <c r="I138" s="164"/>
      <c r="J138" s="159">
        <f>ROUND(976223.3,2)</f>
        <v>976223.3</v>
      </c>
      <c r="K138" s="165"/>
      <c r="L138" s="159">
        <f>ROUND(N7+N119+N126+N128+N130+N132+N134,2)</f>
        <v>27421938.4</v>
      </c>
      <c r="M138" s="159"/>
      <c r="N138" s="159">
        <f>ROUND(N7+N75+N83+N86+N91+N102+N105+N111+N116+N119+N121+N126+N128+N130+N132+N134,2)</f>
        <v>27421938.4</v>
      </c>
      <c r="O138" s="159">
        <f>ROUND(F138+H138+J138+L138,2)</f>
        <v>29398161.7</v>
      </c>
      <c r="P138" s="166"/>
      <c r="Q138" s="2"/>
      <c r="R138" s="2"/>
    </row>
    <row r="140" spans="9:14" ht="12.75">
      <c r="I140" s="174"/>
      <c r="L140" s="176"/>
      <c r="M140" s="176"/>
      <c r="N140" s="176"/>
    </row>
    <row r="141" spans="12:14" ht="12.75">
      <c r="L141" s="176"/>
      <c r="M141" s="176"/>
      <c r="N141" s="176"/>
    </row>
    <row r="142" spans="12:14" ht="12.75">
      <c r="L142" s="176"/>
      <c r="M142" s="176"/>
      <c r="N142" s="176"/>
    </row>
    <row r="143" spans="9:14" ht="12.75">
      <c r="I143" s="177"/>
      <c r="J143" s="177"/>
      <c r="K143" s="177"/>
      <c r="L143" s="178"/>
      <c r="M143" s="178"/>
      <c r="N143" s="178"/>
    </row>
  </sheetData>
  <sheetProtection/>
  <mergeCells count="27">
    <mergeCell ref="E5:F6"/>
    <mergeCell ref="G5:H6"/>
    <mergeCell ref="E7:E8"/>
    <mergeCell ref="F7:F8"/>
    <mergeCell ref="A5:A6"/>
    <mergeCell ref="B5:B6"/>
    <mergeCell ref="C5:C6"/>
    <mergeCell ref="D5:D6"/>
    <mergeCell ref="A7:A8"/>
    <mergeCell ref="B7:B8"/>
    <mergeCell ref="C7:C8"/>
    <mergeCell ref="D7:D8"/>
    <mergeCell ref="G7:G8"/>
    <mergeCell ref="H7:H8"/>
    <mergeCell ref="I5:J6"/>
    <mergeCell ref="K5:L6"/>
    <mergeCell ref="I7:I8"/>
    <mergeCell ref="J7:J8"/>
    <mergeCell ref="K7:K8"/>
    <mergeCell ref="L7:L8"/>
    <mergeCell ref="K1:O1"/>
    <mergeCell ref="K2:O2"/>
    <mergeCell ref="M7:M8"/>
    <mergeCell ref="N7:N8"/>
    <mergeCell ref="O7:O8"/>
    <mergeCell ref="M5:N5"/>
    <mergeCell ref="O5:O6"/>
  </mergeCells>
  <printOptions/>
  <pageMargins left="0.35" right="0.3" top="0.68" bottom="0.46" header="0.43" footer="0.36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mig</cp:lastModifiedBy>
  <cp:lastPrinted>2013-08-15T07:17:06Z</cp:lastPrinted>
  <dcterms:created xsi:type="dcterms:W3CDTF">2013-06-11T00:55:21Z</dcterms:created>
  <dcterms:modified xsi:type="dcterms:W3CDTF">2013-08-20T07:56:15Z</dcterms:modified>
  <cp:category/>
  <cp:version/>
  <cp:contentType/>
  <cp:contentStatus/>
</cp:coreProperties>
</file>