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3995" windowHeight="10980" tabRatio="811" activeTab="5"/>
  </bookViews>
  <sheets>
    <sheet name="ПРИЛОЖ №1" sheetId="1" r:id="rId1"/>
    <sheet name="ПРИЛОЖ №2" sheetId="2" r:id="rId2"/>
    <sheet name="ПРИЛОЖ№3" sheetId="3" r:id="rId3"/>
    <sheet name="ПРИЛОЖ№4" sheetId="4" r:id="rId4"/>
    <sheet name="ПРИЛОЖ№5" sheetId="5" r:id="rId5"/>
    <sheet name="ПРИЛОЖЕНИЕ №6" sheetId="6" r:id="rId6"/>
  </sheets>
  <definedNames>
    <definedName name="_xlnm.Print_Area" localSheetId="0">'ПРИЛОЖ №1'!$A$1:$J$71</definedName>
    <definedName name="_xlnm.Print_Area" localSheetId="1">'ПРИЛОЖ №2'!$A$1:$R$70</definedName>
    <definedName name="_xlnm.Print_Area" localSheetId="2">'ПРИЛОЖ№3'!$A$1:$J$71</definedName>
    <definedName name="_xlnm.Print_Area" localSheetId="3">'ПРИЛОЖ№4'!$A$1:$J$71</definedName>
    <definedName name="_xlnm.Print_Area" localSheetId="4">'ПРИЛОЖ№5'!$A$1:$E$74</definedName>
    <definedName name="_xlnm.Print_Area" localSheetId="5">'ПРИЛОЖЕНИЕ №6'!$A$1:$O$25</definedName>
  </definedNames>
  <calcPr fullCalcOnLoad="1" fullPrecision="0"/>
</workbook>
</file>

<file path=xl/sharedStrings.xml><?xml version="1.0" encoding="utf-8"?>
<sst xmlns="http://schemas.openxmlformats.org/spreadsheetml/2006/main" count="441" uniqueCount="166">
  <si>
    <t>Учреждение</t>
  </si>
  <si>
    <t>сумма тыс.руб.</t>
  </si>
  <si>
    <t>№п/п</t>
  </si>
  <si>
    <t>Администрация города Шарыпово</t>
  </si>
  <si>
    <t>Административное здание</t>
  </si>
  <si>
    <t>филиал № 4 (п. Дубинино)</t>
  </si>
  <si>
    <t xml:space="preserve">Гараж </t>
  </si>
  <si>
    <t>Гаражи</t>
  </si>
  <si>
    <t>ИМА</t>
  </si>
  <si>
    <t xml:space="preserve">гараж </t>
  </si>
  <si>
    <t>уличное освещение</t>
  </si>
  <si>
    <t>МОУ СОШ №1</t>
  </si>
  <si>
    <t>МОУ СОШ №2</t>
  </si>
  <si>
    <t>МОУ СОШ №3</t>
  </si>
  <si>
    <t>МОУ СОШ №7</t>
  </si>
  <si>
    <t>МОУ СОШ № 8</t>
  </si>
  <si>
    <t>МОУ НОШ №11</t>
  </si>
  <si>
    <t>МДОУ д/с  "Дюймовочка"</t>
  </si>
  <si>
    <t>МДОУ д/с  "Чебурашка"</t>
  </si>
  <si>
    <t>МУ ДПО "Информационно-методический центр"</t>
  </si>
  <si>
    <t>МДОУ д/с. "Росинка"</t>
  </si>
  <si>
    <t>ДМДОУ д/с "Золотой ключик"</t>
  </si>
  <si>
    <t>МДОУ д/с "Дельфин"</t>
  </si>
  <si>
    <t>МДОУ д/с "Журавушка"</t>
  </si>
  <si>
    <t>МДОУ д/с "Ромашка"</t>
  </si>
  <si>
    <t>МОУ ДОД  "Детско-юношеский центр г.Шарыпово"</t>
  </si>
  <si>
    <t>МОУ СОШ № 12</t>
  </si>
  <si>
    <t>МДОУ д/с "Сказка"</t>
  </si>
  <si>
    <t>МДОУ д/с  "Теремок"</t>
  </si>
  <si>
    <t xml:space="preserve">Управление образованием </t>
  </si>
  <si>
    <t>МОУ ДОД "Детский оздоровительно-образовательный  лагерь "Бригантина""</t>
  </si>
  <si>
    <t>МУК "Дом культуры п.Дубинино"</t>
  </si>
  <si>
    <t>МОУ ДОД "Школа искусств в г. Шарыпово"</t>
  </si>
  <si>
    <t>МОУ ДОД "Школа искусств в п.Дубинино"</t>
  </si>
  <si>
    <t>ИТОГО</t>
  </si>
  <si>
    <t>МУК "Централизованная библиотечная система"</t>
  </si>
  <si>
    <t>филиал №3</t>
  </si>
  <si>
    <t>филиал №8</t>
  </si>
  <si>
    <t>ЦКиК</t>
  </si>
  <si>
    <t>МАУ "ЦКиК"</t>
  </si>
  <si>
    <t>ГДК</t>
  </si>
  <si>
    <t>ДК п.Горячегорск</t>
  </si>
  <si>
    <t>Центральная городская библиотека</t>
  </si>
  <si>
    <t>Центральная детская библиотека</t>
  </si>
  <si>
    <t>филиал №7</t>
  </si>
  <si>
    <t>ЦФСП</t>
  </si>
  <si>
    <t>МОУ ДОД "Центр детского технического творчества"</t>
  </si>
  <si>
    <t>Управление социальной защиты Администрации города Шарыпово</t>
  </si>
  <si>
    <t>тариф  руб./кВт.ч.</t>
  </si>
  <si>
    <t>потребление м3</t>
  </si>
  <si>
    <t>МАУ "Драматический театр"</t>
  </si>
  <si>
    <t>МБУ "Краеведчиский музей города шарыпово"</t>
  </si>
  <si>
    <t>МБУ "Комплексный центр социального обслуживания населения"</t>
  </si>
  <si>
    <t>МАДОУ д/с "Белоснежка"</t>
  </si>
  <si>
    <t>Управление образованием Администрации города Шарыпово</t>
  </si>
  <si>
    <t xml:space="preserve">Отдел культуры Администрации города Шарыпово </t>
  </si>
  <si>
    <t>МКУ " Служба городского хозяйства"</t>
  </si>
  <si>
    <t>Администрация поселка Дубинино</t>
  </si>
  <si>
    <t>Администрация поселка Горячегорск</t>
  </si>
  <si>
    <t>потребление тыс.кВт.ч.</t>
  </si>
  <si>
    <t>Финансовое управление Администрации города Шарыпово</t>
  </si>
  <si>
    <t>МАУ "Санитарная инспекция по городу Шарыпово"</t>
  </si>
  <si>
    <t>ОСТиМП Администрации города Шарыпово</t>
  </si>
  <si>
    <t>МБУ "Краеведчиский музей города Шарыпово"</t>
  </si>
  <si>
    <t>МОУ ООШ №6</t>
  </si>
  <si>
    <t>МОУ ООШ №4</t>
  </si>
  <si>
    <t>Парус</t>
  </si>
  <si>
    <t>№ п/п</t>
  </si>
  <si>
    <t>Наименование учреждений</t>
  </si>
  <si>
    <t>потребление Гкал</t>
  </si>
  <si>
    <t>тариф руб./Гкал</t>
  </si>
  <si>
    <t xml:space="preserve"> сумма тыс.руб.</t>
  </si>
  <si>
    <t>МБОУ СОШ № 1</t>
  </si>
  <si>
    <t>МБОУ СОШ № 2</t>
  </si>
  <si>
    <t>МБОУ СОШ № 3</t>
  </si>
  <si>
    <t>МБОУ МОШ № 7</t>
  </si>
  <si>
    <t>МАОУ СОШ № 8</t>
  </si>
  <si>
    <t>МБОУ НОШ №11</t>
  </si>
  <si>
    <t>МБДОУ № 2 "Дюймовочка"</t>
  </si>
  <si>
    <t>МБДОУ № 3 "Чебурашка"</t>
  </si>
  <si>
    <t>МБУО ИМЦ РО</t>
  </si>
  <si>
    <t>МБДОУ № 4 "Росинка"</t>
  </si>
  <si>
    <t>ДБДОУ № 21 "Золотой ключик"</t>
  </si>
  <si>
    <t>МБДОУ № 5 "Дельфин"</t>
  </si>
  <si>
    <t>МБДОУ № 22 "Журавушка"</t>
  </si>
  <si>
    <t>МБДОУ № 15 "Ромашка"</t>
  </si>
  <si>
    <t>МБОУ ДОД ДЮЦ г.Шарыпово</t>
  </si>
  <si>
    <t>МБОУ ДОД ЦДТТ</t>
  </si>
  <si>
    <t>МБОУ ООШ № 6</t>
  </si>
  <si>
    <t>МБОУ СОШ № 12</t>
  </si>
  <si>
    <t>МБДОУ № 10 "Сказка"</t>
  </si>
  <si>
    <t>МБДОУ № 8 "Теремок"</t>
  </si>
  <si>
    <t>МАУ "Городской драматический театр"</t>
  </si>
  <si>
    <t>МУК "Централизованная библиотечная система г.Шарыпово"</t>
  </si>
  <si>
    <t>Центральная городская библиотека (2м-он, стр. 8/3)</t>
  </si>
  <si>
    <t>Центральная детская библиотека (2 м-он, д.10)</t>
  </si>
  <si>
    <t>филиал №3, (Пионерный м-он, д.53)</t>
  </si>
  <si>
    <t>филиал №7, (Северный м-он, д.3)</t>
  </si>
  <si>
    <t>филиал №8, (6 м-он, д.13)</t>
  </si>
  <si>
    <t>филиал № 4,6 (п. Дубинино, ул. Шахтерская, д.4)</t>
  </si>
  <si>
    <t>МАУ "Дом культуры п.Дубинино"</t>
  </si>
  <si>
    <t>МБОУ ДОД "Детская школа искусств г. Шарыпово"</t>
  </si>
  <si>
    <t>МБОУ ДОД "Детская школа искусств п. Дубинино"</t>
  </si>
  <si>
    <t>МАУ "Санитарная инспекция по г. Шарыпово"</t>
  </si>
  <si>
    <t>МБУ МЦ "ИМА"</t>
  </si>
  <si>
    <t>МАУ "ЦФСП"</t>
  </si>
  <si>
    <t>МКУ " Служба городского хозяйства":</t>
  </si>
  <si>
    <t>Уличное освещение</t>
  </si>
  <si>
    <t>Приложение № 1 к Постановлению</t>
  </si>
  <si>
    <t>Администрации города Шарыпово</t>
  </si>
  <si>
    <t>сумма тыс. руб.</t>
  </si>
  <si>
    <t>тариф руб./м3</t>
  </si>
  <si>
    <t>куб.м.</t>
  </si>
  <si>
    <t>сумма тыс.руб</t>
  </si>
  <si>
    <t>сумма тыс. руб</t>
  </si>
  <si>
    <t>потребелние м3</t>
  </si>
  <si>
    <t xml:space="preserve">Тепловая энергия </t>
  </si>
  <si>
    <t>Холодное водоснабжение</t>
  </si>
  <si>
    <t>Водоотведение</t>
  </si>
  <si>
    <t>Электрическая энергия</t>
  </si>
  <si>
    <t xml:space="preserve">ИТОГО </t>
  </si>
  <si>
    <t>Горячее водоснабжение</t>
  </si>
  <si>
    <t>Приложение № 2 к Постановлению</t>
  </si>
  <si>
    <t>Приложение № 3 к Постановлению</t>
  </si>
  <si>
    <t>Отдел культуры Администрации города Шарыпово</t>
  </si>
  <si>
    <t xml:space="preserve">Отдел спорта, туризма и молодежной политики </t>
  </si>
  <si>
    <t>Отдел спорта, туризма и молодежной политики</t>
  </si>
  <si>
    <t>Приложение № 4 к Постановлению</t>
  </si>
  <si>
    <t>Приложение № 5 к Постановлению</t>
  </si>
  <si>
    <t>Приложение № 6 к Постановлению</t>
  </si>
  <si>
    <t>сумма. тыс.руб</t>
  </si>
  <si>
    <t>МАДОУ д/с "Золушка"</t>
  </si>
  <si>
    <t>Период с 01.01.2014 г. по 30.06.2014 г.</t>
  </si>
  <si>
    <t>Период 01.07.2014 г. по 31.12.2014 г.</t>
  </si>
  <si>
    <t>Итого за 2014 год</t>
  </si>
  <si>
    <t>ЛИМИТЫ ПОТРЕБЛЕНИЯ ТЕПЛОВОЙ ЭНЕРГИИ УЧРЕЖДЕНИЯМИ, ФИНАНСИРУЕМЫМИ ИЗ БЮДЖЕТА НА 2014 ГОД</t>
  </si>
  <si>
    <t>Период с 01.01.2014 г по 30.06.2014 г.</t>
  </si>
  <si>
    <t>Период с 01.07.2014 г по 31.12.2014 г.</t>
  </si>
  <si>
    <t>ЛИМИТЫ ПОТРЕБЛЕНИЯ ГОРЯЧЕГО ВОДОСНАБЖЕНИЯ УЧРЕЖДЕНИЯМИ, ФИНАНСИРУЕМЫМИ ИЗ БЮДЖЕТА НА 2014 ГОД</t>
  </si>
  <si>
    <t>ЛИМИТЫ ПОТРЕБЛЕНИЯ ХОЛОДНОГО ВОДОСНАБЖЕНИЯ УЧРЕЖДЕНИЯМИ, ФИНАНСИРУЕМЫМИ ИЗ БЮДЖЕТА НА 2014 ГОД</t>
  </si>
  <si>
    <t xml:space="preserve">     Период с 01.01.2014 г. по 30.06.2014 г.</t>
  </si>
  <si>
    <t>Период с 01.07.2014 г. по 31.12.2014 г.</t>
  </si>
  <si>
    <t>ЛИМИТЫ ПОТРЕБЛЕНИЯ  ВОДООТВЕДЕНИЯ УЧРЕЖДЕНИЯМИ, ФИНАНСИРУЕМЫМИ ИЗ БЮДЖЕТА НА 2014 ГОД</t>
  </si>
  <si>
    <t>Период с 01.07.2014г. по 31.12.2014 г.</t>
  </si>
  <si>
    <t>Итого за 2014 г.</t>
  </si>
  <si>
    <t>Период с 01.01.2014г. по 31.12.2014г.</t>
  </si>
  <si>
    <t>ЛИМИТЫ ПОТРЕБЛЕНИЯ ЭЛЕКТРИЧЕСКОЙ ЭНЕРГИИ УЧРЕЖДЕНИЯМИ, ФИНАНСИРУЕМЫМИ ИЗ БЮДЖЕТА НА 2014 ГОД</t>
  </si>
  <si>
    <t>Всего по энергетическим ресурсам за период с 01.01.2014 г. по 31.12.2014 г.,тыс.руб.</t>
  </si>
  <si>
    <t>3-303</t>
  </si>
  <si>
    <t xml:space="preserve">тариф </t>
  </si>
  <si>
    <t>компонент на теплоноситель, руб./м3</t>
  </si>
  <si>
    <t>компонент на тепловую энергию, руб./Гкал</t>
  </si>
  <si>
    <r>
      <t>от "</t>
    </r>
    <r>
      <rPr>
        <u val="single"/>
        <sz val="10"/>
        <rFont val="Times New Roman"/>
        <family val="1"/>
      </rPr>
      <t xml:space="preserve"> 28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ноября</t>
    </r>
    <r>
      <rPr>
        <sz val="10"/>
        <rFont val="Times New Roman"/>
        <family val="1"/>
      </rPr>
      <t xml:space="preserve"> 2013 г. №</t>
    </r>
    <r>
      <rPr>
        <u val="single"/>
        <sz val="10"/>
        <rFont val="Times New Roman"/>
        <family val="1"/>
      </rPr>
      <t xml:space="preserve"> 298</t>
    </r>
  </si>
  <si>
    <t>ЛИМИТЫ ПОТРЕБЛЕНИЯ ЭНЕРГЕТИЧЕСКИХ РЕСУРСОВ УЧРЕЖДЕНИЯМИ,ФИНАНСИРУЕМЫМИ ИЗ БЮДЖЕТА НА 2014 ГОД</t>
  </si>
  <si>
    <t>нежилое здание передано в оперативное управление МАУ "ЦФСП" (Распоряжение №3252 от 30.12.13г.)</t>
  </si>
  <si>
    <t>компонент на теплоноситель</t>
  </si>
  <si>
    <t>компонент на тепловую энергию</t>
  </si>
  <si>
    <t>потребление</t>
  </si>
  <si>
    <t>компонент на теплоноситель,м3</t>
  </si>
  <si>
    <t>компонент на тепловую энергию,Гкал</t>
  </si>
  <si>
    <t>Приложение № 6  к Постановлению</t>
  </si>
  <si>
    <r>
      <t>от "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>февраля</t>
    </r>
    <r>
      <rPr>
        <sz val="10"/>
        <rFont val="Times New Roman"/>
        <family val="1"/>
      </rPr>
      <t xml:space="preserve"> 2014 г. №</t>
    </r>
    <r>
      <rPr>
        <u val="single"/>
        <sz val="10"/>
        <rFont val="Times New Roman"/>
        <family val="1"/>
      </rPr>
      <t>24</t>
    </r>
  </si>
  <si>
    <r>
      <t>от "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>февраля</t>
    </r>
    <r>
      <rPr>
        <sz val="10"/>
        <rFont val="Times New Roman"/>
        <family val="1"/>
      </rPr>
      <t xml:space="preserve"> 2014 г. №</t>
    </r>
    <r>
      <rPr>
        <u val="single"/>
        <sz val="10"/>
        <rFont val="Times New Roman"/>
        <family val="1"/>
      </rPr>
      <t xml:space="preserve"> 24</t>
    </r>
  </si>
  <si>
    <r>
      <t>от "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>февраля</t>
    </r>
    <r>
      <rPr>
        <sz val="10"/>
        <rFont val="Times New Roman"/>
        <family val="1"/>
      </rPr>
      <t xml:space="preserve"> 2014 г. № </t>
    </r>
    <r>
      <rPr>
        <u val="single"/>
        <sz val="10"/>
        <rFont val="Times New Roman"/>
        <family val="1"/>
      </rPr>
      <t>24</t>
    </r>
  </si>
  <si>
    <r>
      <t>от "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февраля </t>
    </r>
    <r>
      <rPr>
        <sz val="10"/>
        <rFont val="Times New Roman"/>
        <family val="1"/>
      </rPr>
      <t xml:space="preserve">2014 г. № </t>
    </r>
    <r>
      <rPr>
        <u val="single"/>
        <sz val="10"/>
        <rFont val="Times New Roman"/>
        <family val="1"/>
      </rPr>
      <t>24</t>
    </r>
  </si>
  <si>
    <r>
      <t>от "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>февраля</t>
    </r>
    <r>
      <rPr>
        <sz val="10"/>
        <rFont val="Times New Roman"/>
        <family val="1"/>
      </rPr>
      <t xml:space="preserve">  2014г.№</t>
    </r>
    <r>
      <rPr>
        <u val="single"/>
        <sz val="10"/>
        <rFont val="Times New Roman"/>
        <family val="1"/>
      </rPr>
      <t>24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</si>
</sst>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-* #,##0\ _F_-;\-* #,##0\ _F_-;_-* &quot;-&quot;\ _F_-;_-@_-"/>
    <numFmt numFmtId="167" formatCode="_-* #,##0.00\ _F_-;\-* #,##0.00\ _F_-;_-* &quot;-&quot;??\ _F_-;_-@_-"/>
    <numFmt numFmtId="168" formatCode="_(* #,##0.00_);_(* \(#,##0.00\);_(* &quot;-&quot;??_);_(@_)"/>
    <numFmt numFmtId="169" formatCode="_(* #,##0_);_(* \(#,##0\);_(* &quot;-&quot;_);_(@_)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0.0000"/>
    <numFmt numFmtId="178" formatCode="0.00000"/>
    <numFmt numFmtId="179" formatCode="#,##0.000"/>
    <numFmt numFmtId="180" formatCode="#,##0.0000"/>
    <numFmt numFmtId="181" formatCode="#,##0.00000"/>
    <numFmt numFmtId="182" formatCode="#,##0.000000"/>
    <numFmt numFmtId="183" formatCode="#,##0.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_р_."/>
    <numFmt numFmtId="189" formatCode="#,##0.000_р_."/>
    <numFmt numFmtId="190" formatCode="#,##0.0000_р_."/>
    <numFmt numFmtId="191" formatCode="#,##0.00000_р_."/>
    <numFmt numFmtId="192" formatCode="#,##0.000000_р_."/>
    <numFmt numFmtId="193" formatCode="#,##0.0000000_р_."/>
    <numFmt numFmtId="194" formatCode="0.000000"/>
  </numFmts>
  <fonts count="4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48">
    <xf numFmtId="0" fontId="0" fillId="0" borderId="0" xfId="0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  <protection/>
    </xf>
    <xf numFmtId="2" fontId="8" fillId="0" borderId="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53" applyFont="1" applyFill="1" applyAlignment="1">
      <alignment horizontal="center" vertical="center" wrapText="1"/>
      <protection/>
    </xf>
    <xf numFmtId="0" fontId="11" fillId="0" borderId="0" xfId="53" applyFont="1" applyFill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53" applyFont="1" applyFill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left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3" fontId="18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180" fontId="8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textRotation="90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8" fillId="0" borderId="0" xfId="53" applyNumberFormat="1" applyFont="1" applyFill="1" applyAlignment="1">
      <alignment horizontal="center" vertical="center" wrapText="1"/>
      <protection/>
    </xf>
    <xf numFmtId="4" fontId="8" fillId="0" borderId="0" xfId="53" applyNumberFormat="1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left" vertical="center" wrapText="1"/>
      <protection/>
    </xf>
    <xf numFmtId="180" fontId="11" fillId="0" borderId="0" xfId="53" applyNumberFormat="1" applyFont="1" applyFill="1" applyBorder="1" applyAlignment="1">
      <alignment horizontal="center" vertical="center" wrapText="1"/>
      <protection/>
    </xf>
    <xf numFmtId="180" fontId="10" fillId="0" borderId="10" xfId="53" applyNumberFormat="1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180" fontId="11" fillId="0" borderId="10" xfId="53" applyNumberFormat="1" applyFont="1" applyFill="1" applyBorder="1" applyAlignment="1">
      <alignment horizontal="center" vertical="center" wrapText="1"/>
      <protection/>
    </xf>
    <xf numFmtId="180" fontId="8" fillId="0" borderId="10" xfId="53" applyNumberFormat="1" applyFont="1" applyFill="1" applyBorder="1" applyAlignment="1">
      <alignment horizontal="center" vertical="center" wrapText="1"/>
      <protection/>
    </xf>
    <xf numFmtId="4" fontId="12" fillId="0" borderId="10" xfId="53" applyNumberFormat="1" applyFont="1" applyFill="1" applyBorder="1" applyAlignment="1">
      <alignment horizontal="center" vertical="center" wrapText="1"/>
      <protection/>
    </xf>
    <xf numFmtId="2" fontId="11" fillId="0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" fontId="11" fillId="0" borderId="10" xfId="53" applyNumberFormat="1" applyFont="1" applyFill="1" applyBorder="1" applyAlignment="1">
      <alignment vertical="center" wrapText="1"/>
      <protection/>
    </xf>
    <xf numFmtId="4" fontId="8" fillId="0" borderId="10" xfId="54" applyNumberFormat="1" applyFont="1" applyFill="1" applyBorder="1" applyAlignment="1">
      <alignment vertical="center" wrapText="1"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8" fillId="0" borderId="10" xfId="53" applyNumberFormat="1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 wrapText="1"/>
    </xf>
    <xf numFmtId="181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" fontId="8" fillId="0" borderId="10" xfId="54" applyNumberFormat="1" applyFont="1" applyFill="1" applyBorder="1" applyAlignment="1">
      <alignment horizontal="left" vertical="center" wrapText="1"/>
      <protection/>
    </xf>
    <xf numFmtId="4" fontId="18" fillId="0" borderId="10" xfId="53" applyNumberFormat="1" applyFont="1" applyFill="1" applyBorder="1" applyAlignment="1">
      <alignment horizontal="left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179" fontId="11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179" fontId="18" fillId="0" borderId="10" xfId="53" applyNumberFormat="1" applyFont="1" applyFill="1" applyBorder="1" applyAlignment="1">
      <alignment horizontal="center" vertical="center" wrapText="1"/>
      <protection/>
    </xf>
    <xf numFmtId="176" fontId="14" fillId="0" borderId="0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4" fontId="7" fillId="0" borderId="10" xfId="0" applyNumberFormat="1" applyFont="1" applyFill="1" applyBorder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>
      <alignment horizontal="center" vertical="center" wrapText="1"/>
    </xf>
    <xf numFmtId="0" fontId="10" fillId="0" borderId="0" xfId="53" applyFont="1" applyFill="1" applyAlignment="1">
      <alignment horizontal="center" vertical="center" wrapText="1"/>
      <protection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2" xfId="53" applyNumberFormat="1" applyFont="1" applyFill="1" applyBorder="1" applyAlignment="1">
      <alignment horizontal="left" vertical="center" wrapText="1"/>
      <protection/>
    </xf>
    <xf numFmtId="4" fontId="8" fillId="0" borderId="12" xfId="53" applyNumberFormat="1" applyFont="1" applyFill="1" applyBorder="1" applyAlignment="1">
      <alignment horizontal="center" vertical="center" wrapText="1"/>
      <protection/>
    </xf>
    <xf numFmtId="4" fontId="8" fillId="0" borderId="14" xfId="53" applyNumberFormat="1" applyFont="1" applyFill="1" applyBorder="1" applyAlignment="1">
      <alignment horizontal="center" vertical="center" wrapText="1"/>
      <protection/>
    </xf>
    <xf numFmtId="4" fontId="8" fillId="0" borderId="13" xfId="53" applyNumberFormat="1" applyFont="1" applyFill="1" applyBorder="1" applyAlignment="1">
      <alignment horizontal="center" vertical="center" wrapText="1"/>
      <protection/>
    </xf>
    <xf numFmtId="4" fontId="10" fillId="0" borderId="12" xfId="53" applyNumberFormat="1" applyFont="1" applyFill="1" applyBorder="1" applyAlignment="1">
      <alignment horizontal="left" vertical="center" wrapText="1"/>
      <protection/>
    </xf>
    <xf numFmtId="4" fontId="7" fillId="0" borderId="13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3" xfId="53" applyNumberFormat="1" applyFont="1" applyFill="1" applyBorder="1" applyAlignment="1">
      <alignment horizontal="left" vertical="center" wrapText="1"/>
      <protection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3" fontId="11" fillId="0" borderId="16" xfId="53" applyNumberFormat="1" applyFont="1" applyFill="1" applyBorder="1" applyAlignment="1">
      <alignment horizontal="center" vertical="center" wrapText="1"/>
      <protection/>
    </xf>
    <xf numFmtId="3" fontId="11" fillId="0" borderId="18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1" fillId="0" borderId="16" xfId="53" applyNumberFormat="1" applyFont="1" applyFill="1" applyBorder="1" applyAlignment="1">
      <alignment horizontal="left" vertical="center" wrapText="1"/>
      <protection/>
    </xf>
    <xf numFmtId="4" fontId="11" fillId="0" borderId="18" xfId="53" applyNumberFormat="1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left" vertical="center" wrapText="1"/>
      <protection/>
    </xf>
    <xf numFmtId="0" fontId="10" fillId="0" borderId="13" xfId="53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180" fontId="10" fillId="0" borderId="16" xfId="53" applyNumberFormat="1" applyFont="1" applyFill="1" applyBorder="1" applyAlignment="1">
      <alignment horizontal="center" vertical="center" wrapText="1"/>
      <protection/>
    </xf>
    <xf numFmtId="180" fontId="10" fillId="0" borderId="18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57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Example " xfId="62"/>
    <cellStyle name="Тысячи_Example 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74"/>
  <sheetViews>
    <sheetView zoomScaleSheetLayoutView="80" zoomScalePageLayoutView="0" workbookViewId="0" topLeftCell="A1">
      <selection activeCell="K7" sqref="K7"/>
    </sheetView>
  </sheetViews>
  <sheetFormatPr defaultColWidth="9.00390625" defaultRowHeight="12.75"/>
  <cols>
    <col min="1" max="1" width="4.75390625" style="12" customWidth="1"/>
    <col min="2" max="2" width="37.625" style="78" customWidth="1"/>
    <col min="3" max="10" width="11.875" style="12" customWidth="1"/>
    <col min="11" max="16384" width="9.125" style="12" customWidth="1"/>
  </cols>
  <sheetData>
    <row r="1" spans="8:10" ht="12.75">
      <c r="H1" s="108" t="s">
        <v>108</v>
      </c>
      <c r="I1" s="108"/>
      <c r="J1" s="108"/>
    </row>
    <row r="2" spans="8:10" ht="12.75">
      <c r="H2" s="108" t="s">
        <v>109</v>
      </c>
      <c r="I2" s="108"/>
      <c r="J2" s="108"/>
    </row>
    <row r="3" spans="8:10" ht="12.75">
      <c r="H3" s="108" t="s">
        <v>161</v>
      </c>
      <c r="I3" s="108"/>
      <c r="J3" s="108"/>
    </row>
    <row r="5" spans="1:10" ht="12.75" customHeight="1">
      <c r="A5" s="77"/>
      <c r="C5" s="79"/>
      <c r="H5" s="108" t="s">
        <v>108</v>
      </c>
      <c r="I5" s="108"/>
      <c r="J5" s="108"/>
    </row>
    <row r="6" spans="1:10" ht="12.75" customHeight="1">
      <c r="A6" s="77"/>
      <c r="B6" s="57"/>
      <c r="C6" s="79"/>
      <c r="H6" s="108" t="s">
        <v>109</v>
      </c>
      <c r="I6" s="108"/>
      <c r="J6" s="108"/>
    </row>
    <row r="7" spans="1:10" ht="12.75" customHeight="1">
      <c r="A7" s="77"/>
      <c r="C7" s="79"/>
      <c r="H7" s="108" t="s">
        <v>152</v>
      </c>
      <c r="I7" s="108"/>
      <c r="J7" s="108"/>
    </row>
    <row r="8" spans="1:3" ht="12.75">
      <c r="A8" s="77"/>
      <c r="C8" s="79"/>
    </row>
    <row r="9" spans="1:3" ht="12.75">
      <c r="A9" s="77"/>
      <c r="C9" s="79"/>
    </row>
    <row r="10" spans="1:10" ht="12.75" customHeight="1">
      <c r="A10" s="77"/>
      <c r="B10" s="110" t="s">
        <v>135</v>
      </c>
      <c r="C10" s="110"/>
      <c r="D10" s="110"/>
      <c r="E10" s="110"/>
      <c r="F10" s="110"/>
      <c r="G10" s="110"/>
      <c r="H10" s="110"/>
      <c r="I10" s="110"/>
      <c r="J10" s="110"/>
    </row>
    <row r="11" spans="1:3" ht="12.75">
      <c r="A11" s="77"/>
      <c r="C11" s="79"/>
    </row>
    <row r="12" spans="1:10" ht="12.75" customHeight="1">
      <c r="A12" s="106" t="s">
        <v>67</v>
      </c>
      <c r="B12" s="105" t="s">
        <v>68</v>
      </c>
      <c r="C12" s="107" t="s">
        <v>132</v>
      </c>
      <c r="D12" s="107"/>
      <c r="E12" s="107"/>
      <c r="F12" s="105" t="s">
        <v>133</v>
      </c>
      <c r="G12" s="105"/>
      <c r="H12" s="105"/>
      <c r="I12" s="105" t="s">
        <v>134</v>
      </c>
      <c r="J12" s="105"/>
    </row>
    <row r="13" spans="1:10" ht="12.75" customHeight="1">
      <c r="A13" s="106"/>
      <c r="B13" s="105"/>
      <c r="C13" s="109" t="s">
        <v>69</v>
      </c>
      <c r="D13" s="105" t="s">
        <v>70</v>
      </c>
      <c r="E13" s="105" t="s">
        <v>1</v>
      </c>
      <c r="F13" s="105" t="s">
        <v>69</v>
      </c>
      <c r="G13" s="105" t="s">
        <v>70</v>
      </c>
      <c r="H13" s="105" t="s">
        <v>1</v>
      </c>
      <c r="I13" s="105" t="s">
        <v>69</v>
      </c>
      <c r="J13" s="105" t="s">
        <v>71</v>
      </c>
    </row>
    <row r="14" spans="1:10" ht="12.75">
      <c r="A14" s="106"/>
      <c r="B14" s="105"/>
      <c r="C14" s="109"/>
      <c r="D14" s="105"/>
      <c r="E14" s="105"/>
      <c r="F14" s="105"/>
      <c r="G14" s="105"/>
      <c r="H14" s="105"/>
      <c r="I14" s="105"/>
      <c r="J14" s="105"/>
    </row>
    <row r="15" spans="1:10" ht="14.25" customHeight="1">
      <c r="A15" s="24">
        <v>1</v>
      </c>
      <c r="B15" s="58" t="s">
        <v>3</v>
      </c>
      <c r="C15" s="26">
        <v>208.04</v>
      </c>
      <c r="D15" s="27">
        <v>743.34</v>
      </c>
      <c r="E15" s="26">
        <f>C15*D15/1000</f>
        <v>154.64</v>
      </c>
      <c r="F15" s="26">
        <v>208.04</v>
      </c>
      <c r="G15" s="27">
        <v>775.25</v>
      </c>
      <c r="H15" s="26">
        <f>F15*G15/1000</f>
        <v>161.28</v>
      </c>
      <c r="I15" s="26">
        <f>C15+F15</f>
        <v>416.08</v>
      </c>
      <c r="J15" s="26">
        <f>E15+H15</f>
        <v>315.92</v>
      </c>
    </row>
    <row r="16" spans="1:10" ht="26.25" customHeight="1">
      <c r="A16" s="24">
        <v>2</v>
      </c>
      <c r="B16" s="58" t="s">
        <v>60</v>
      </c>
      <c r="C16" s="26">
        <v>20.54</v>
      </c>
      <c r="D16" s="27">
        <v>743.34</v>
      </c>
      <c r="E16" s="26">
        <f aca="true" t="shared" si="0" ref="E16:E58">C16*D16/1000</f>
        <v>15.27</v>
      </c>
      <c r="F16" s="26">
        <v>20.53</v>
      </c>
      <c r="G16" s="27">
        <v>775.25</v>
      </c>
      <c r="H16" s="26">
        <f aca="true" t="shared" si="1" ref="H16:H58">F16*G16/1000</f>
        <v>15.92</v>
      </c>
      <c r="I16" s="27">
        <f>C16+F16</f>
        <v>41.07</v>
      </c>
      <c r="J16" s="26">
        <f aca="true" t="shared" si="2" ref="J16:J58">E16+H16</f>
        <v>31.19</v>
      </c>
    </row>
    <row r="17" spans="1:10" ht="25.5" customHeight="1">
      <c r="A17" s="24">
        <v>3</v>
      </c>
      <c r="B17" s="58" t="s">
        <v>54</v>
      </c>
      <c r="C17" s="80">
        <f>SUM(C18:C40)</f>
        <v>12475.195</v>
      </c>
      <c r="D17" s="27">
        <v>743.34</v>
      </c>
      <c r="E17" s="26">
        <f>E18+E19+E20+E21+E22+E23+E24+E25+E26+E27+E28+E29+E30+E31+E32+E33+E34+E35+E36+E37+E38+E39+E40</f>
        <v>9273.32</v>
      </c>
      <c r="F17" s="80">
        <f>SUM(F18:F40)</f>
        <v>8102.607</v>
      </c>
      <c r="G17" s="27">
        <v>775.25</v>
      </c>
      <c r="H17" s="26">
        <f>H18+H19+H20+H21+H22+H23+H24+H25+H26+H27+H28+H29+H30+H31+H32+H33+H34+H35+H36+H37+H38+H39+H40</f>
        <v>6281.57</v>
      </c>
      <c r="I17" s="26">
        <f>C17+F17</f>
        <v>20577.8</v>
      </c>
      <c r="J17" s="26">
        <f>J18+J19+J20+J21+J22+J23+J24+J25+J26+J27+J28+J29+J30+J31+J32+J33+J34+J35+J36+J37+J38+J39+J40</f>
        <v>15554.89</v>
      </c>
    </row>
    <row r="18" spans="1:10" ht="23.25" customHeight="1" hidden="1">
      <c r="A18" s="24"/>
      <c r="B18" s="58" t="s">
        <v>29</v>
      </c>
      <c r="C18" s="26">
        <v>325</v>
      </c>
      <c r="D18" s="27">
        <v>743.34</v>
      </c>
      <c r="E18" s="26">
        <f t="shared" si="0"/>
        <v>241.59</v>
      </c>
      <c r="F18" s="26">
        <v>166.8</v>
      </c>
      <c r="G18" s="27">
        <v>775.25</v>
      </c>
      <c r="H18" s="26">
        <f t="shared" si="1"/>
        <v>129.31</v>
      </c>
      <c r="I18" s="26">
        <f>C18+F18</f>
        <v>491.8</v>
      </c>
      <c r="J18" s="26">
        <f t="shared" si="2"/>
        <v>370.9</v>
      </c>
    </row>
    <row r="19" spans="1:10" ht="23.25" customHeight="1" hidden="1">
      <c r="A19" s="24"/>
      <c r="B19" s="58" t="s">
        <v>72</v>
      </c>
      <c r="C19" s="26">
        <v>410</v>
      </c>
      <c r="D19" s="27">
        <v>743.34</v>
      </c>
      <c r="E19" s="26">
        <f t="shared" si="0"/>
        <v>304.77</v>
      </c>
      <c r="F19" s="26">
        <v>276</v>
      </c>
      <c r="G19" s="27">
        <v>775.25</v>
      </c>
      <c r="H19" s="26">
        <f t="shared" si="1"/>
        <v>213.97</v>
      </c>
      <c r="I19" s="26">
        <f aca="true" t="shared" si="3" ref="I19:I40">C19+F19</f>
        <v>686</v>
      </c>
      <c r="J19" s="26">
        <f t="shared" si="2"/>
        <v>518.74</v>
      </c>
    </row>
    <row r="20" spans="1:10" ht="23.25" customHeight="1" hidden="1">
      <c r="A20" s="24"/>
      <c r="B20" s="58" t="s">
        <v>73</v>
      </c>
      <c r="C20" s="26">
        <v>1003</v>
      </c>
      <c r="D20" s="27">
        <v>743.34</v>
      </c>
      <c r="E20" s="26">
        <f t="shared" si="0"/>
        <v>745.57</v>
      </c>
      <c r="F20" s="26">
        <v>596</v>
      </c>
      <c r="G20" s="27">
        <v>775.25</v>
      </c>
      <c r="H20" s="26">
        <f t="shared" si="1"/>
        <v>462.05</v>
      </c>
      <c r="I20" s="26">
        <f t="shared" si="3"/>
        <v>1599</v>
      </c>
      <c r="J20" s="26">
        <f t="shared" si="2"/>
        <v>1207.62</v>
      </c>
    </row>
    <row r="21" spans="1:10" ht="23.25" customHeight="1" hidden="1">
      <c r="A21" s="24"/>
      <c r="B21" s="58" t="s">
        <v>74</v>
      </c>
      <c r="C21" s="80">
        <v>932.478</v>
      </c>
      <c r="D21" s="27">
        <v>743.34</v>
      </c>
      <c r="E21" s="26">
        <f t="shared" si="0"/>
        <v>693.15</v>
      </c>
      <c r="F21" s="80">
        <v>699.522</v>
      </c>
      <c r="G21" s="27">
        <v>775.25</v>
      </c>
      <c r="H21" s="26">
        <f t="shared" si="1"/>
        <v>542.3</v>
      </c>
      <c r="I21" s="26">
        <f t="shared" si="3"/>
        <v>1632</v>
      </c>
      <c r="J21" s="26">
        <f t="shared" si="2"/>
        <v>1235.45</v>
      </c>
    </row>
    <row r="22" spans="1:10" ht="23.25" customHeight="1" hidden="1">
      <c r="A22" s="24"/>
      <c r="B22" s="58" t="s">
        <v>75</v>
      </c>
      <c r="C22" s="26">
        <v>940</v>
      </c>
      <c r="D22" s="27">
        <v>743.34</v>
      </c>
      <c r="E22" s="26">
        <f t="shared" si="0"/>
        <v>698.74</v>
      </c>
      <c r="F22" s="26">
        <v>542</v>
      </c>
      <c r="G22" s="27">
        <v>775.25</v>
      </c>
      <c r="H22" s="26">
        <f t="shared" si="1"/>
        <v>420.19</v>
      </c>
      <c r="I22" s="26">
        <f t="shared" si="3"/>
        <v>1482</v>
      </c>
      <c r="J22" s="26">
        <f t="shared" si="2"/>
        <v>1118.93</v>
      </c>
    </row>
    <row r="23" spans="1:10" ht="23.25" customHeight="1" hidden="1">
      <c r="A23" s="24"/>
      <c r="B23" s="58" t="s">
        <v>76</v>
      </c>
      <c r="C23" s="26">
        <v>745</v>
      </c>
      <c r="D23" s="27">
        <v>743.34</v>
      </c>
      <c r="E23" s="26">
        <f t="shared" si="0"/>
        <v>553.79</v>
      </c>
      <c r="F23" s="26">
        <v>649</v>
      </c>
      <c r="G23" s="27">
        <v>775.25</v>
      </c>
      <c r="H23" s="26">
        <f t="shared" si="1"/>
        <v>503.14</v>
      </c>
      <c r="I23" s="26">
        <f t="shared" si="3"/>
        <v>1394</v>
      </c>
      <c r="J23" s="26">
        <f t="shared" si="2"/>
        <v>1056.93</v>
      </c>
    </row>
    <row r="24" spans="1:10" ht="23.25" customHeight="1" hidden="1">
      <c r="A24" s="24"/>
      <c r="B24" s="58" t="s">
        <v>77</v>
      </c>
      <c r="C24" s="26">
        <v>285</v>
      </c>
      <c r="D24" s="27">
        <v>743.34</v>
      </c>
      <c r="E24" s="26">
        <f t="shared" si="0"/>
        <v>211.85</v>
      </c>
      <c r="F24" s="26">
        <v>263</v>
      </c>
      <c r="G24" s="27">
        <v>775.25</v>
      </c>
      <c r="H24" s="26">
        <f t="shared" si="1"/>
        <v>203.89</v>
      </c>
      <c r="I24" s="26">
        <f t="shared" si="3"/>
        <v>548</v>
      </c>
      <c r="J24" s="26">
        <f t="shared" si="2"/>
        <v>415.74</v>
      </c>
    </row>
    <row r="25" spans="1:10" ht="23.25" customHeight="1" hidden="1">
      <c r="A25" s="24"/>
      <c r="B25" s="58" t="s">
        <v>78</v>
      </c>
      <c r="C25" s="26">
        <v>460</v>
      </c>
      <c r="D25" s="27">
        <v>743.34</v>
      </c>
      <c r="E25" s="26">
        <f t="shared" si="0"/>
        <v>341.94</v>
      </c>
      <c r="F25" s="26">
        <v>308</v>
      </c>
      <c r="G25" s="27">
        <v>775.25</v>
      </c>
      <c r="H25" s="26">
        <f t="shared" si="1"/>
        <v>238.78</v>
      </c>
      <c r="I25" s="26">
        <f t="shared" si="3"/>
        <v>768</v>
      </c>
      <c r="J25" s="26">
        <f t="shared" si="2"/>
        <v>580.72</v>
      </c>
    </row>
    <row r="26" spans="1:10" ht="23.25" customHeight="1" hidden="1">
      <c r="A26" s="24"/>
      <c r="B26" s="58" t="s">
        <v>79</v>
      </c>
      <c r="C26" s="26">
        <v>390.74</v>
      </c>
      <c r="D26" s="27">
        <v>743.34</v>
      </c>
      <c r="E26" s="26">
        <f t="shared" si="0"/>
        <v>290.45</v>
      </c>
      <c r="F26" s="80">
        <v>255.259</v>
      </c>
      <c r="G26" s="27">
        <v>775.25</v>
      </c>
      <c r="H26" s="26">
        <f t="shared" si="1"/>
        <v>197.89</v>
      </c>
      <c r="I26" s="26">
        <f t="shared" si="3"/>
        <v>646</v>
      </c>
      <c r="J26" s="26">
        <f t="shared" si="2"/>
        <v>488.34</v>
      </c>
    </row>
    <row r="27" spans="1:10" ht="23.25" customHeight="1" hidden="1">
      <c r="A27" s="24"/>
      <c r="B27" s="58" t="s">
        <v>80</v>
      </c>
      <c r="C27" s="26">
        <v>277.16</v>
      </c>
      <c r="D27" s="27">
        <v>743.34</v>
      </c>
      <c r="E27" s="26">
        <f t="shared" si="0"/>
        <v>206.02</v>
      </c>
      <c r="F27" s="80">
        <v>166.843</v>
      </c>
      <c r="G27" s="27">
        <v>775.25</v>
      </c>
      <c r="H27" s="26">
        <f t="shared" si="1"/>
        <v>129.35</v>
      </c>
      <c r="I27" s="26">
        <f t="shared" si="3"/>
        <v>444</v>
      </c>
      <c r="J27" s="26">
        <f t="shared" si="2"/>
        <v>335.37</v>
      </c>
    </row>
    <row r="28" spans="1:10" ht="23.25" customHeight="1" hidden="1">
      <c r="A28" s="24"/>
      <c r="B28" s="58" t="s">
        <v>81</v>
      </c>
      <c r="C28" s="26">
        <v>547</v>
      </c>
      <c r="D28" s="27">
        <v>743.34</v>
      </c>
      <c r="E28" s="26">
        <f t="shared" si="0"/>
        <v>406.61</v>
      </c>
      <c r="F28" s="26">
        <v>259</v>
      </c>
      <c r="G28" s="27">
        <v>775.25</v>
      </c>
      <c r="H28" s="26">
        <f t="shared" si="1"/>
        <v>200.79</v>
      </c>
      <c r="I28" s="26">
        <f t="shared" si="3"/>
        <v>806</v>
      </c>
      <c r="J28" s="26">
        <f>E28+H28</f>
        <v>607.4</v>
      </c>
    </row>
    <row r="29" spans="1:10" ht="23.25" customHeight="1" hidden="1">
      <c r="A29" s="24"/>
      <c r="B29" s="58" t="s">
        <v>82</v>
      </c>
      <c r="C29" s="26">
        <v>465</v>
      </c>
      <c r="D29" s="27">
        <v>743.34</v>
      </c>
      <c r="E29" s="26">
        <f t="shared" si="0"/>
        <v>345.65</v>
      </c>
      <c r="F29" s="26">
        <v>238</v>
      </c>
      <c r="G29" s="27">
        <v>775.25</v>
      </c>
      <c r="H29" s="26">
        <f t="shared" si="1"/>
        <v>184.51</v>
      </c>
      <c r="I29" s="26">
        <f t="shared" si="3"/>
        <v>703</v>
      </c>
      <c r="J29" s="26">
        <f t="shared" si="2"/>
        <v>530.16</v>
      </c>
    </row>
    <row r="30" spans="1:10" ht="23.25" customHeight="1" hidden="1">
      <c r="A30" s="24"/>
      <c r="B30" s="58" t="s">
        <v>83</v>
      </c>
      <c r="C30" s="80">
        <v>414.229</v>
      </c>
      <c r="D30" s="27">
        <v>743.34</v>
      </c>
      <c r="E30" s="26">
        <f t="shared" si="0"/>
        <v>307.91</v>
      </c>
      <c r="F30" s="80">
        <v>331.771</v>
      </c>
      <c r="G30" s="27">
        <v>775.25</v>
      </c>
      <c r="H30" s="26">
        <f t="shared" si="1"/>
        <v>257.21</v>
      </c>
      <c r="I30" s="26">
        <f t="shared" si="3"/>
        <v>746</v>
      </c>
      <c r="J30" s="26">
        <f t="shared" si="2"/>
        <v>565.12</v>
      </c>
    </row>
    <row r="31" spans="1:10" ht="23.25" customHeight="1" hidden="1">
      <c r="A31" s="24"/>
      <c r="B31" s="58" t="s">
        <v>84</v>
      </c>
      <c r="C31" s="26">
        <v>414</v>
      </c>
      <c r="D31" s="27">
        <v>743.34</v>
      </c>
      <c r="E31" s="26">
        <f t="shared" si="0"/>
        <v>307.74</v>
      </c>
      <c r="F31" s="26">
        <v>201</v>
      </c>
      <c r="G31" s="27">
        <v>775.25</v>
      </c>
      <c r="H31" s="26">
        <f t="shared" si="1"/>
        <v>155.83</v>
      </c>
      <c r="I31" s="26">
        <f t="shared" si="3"/>
        <v>615</v>
      </c>
      <c r="J31" s="26">
        <f t="shared" si="2"/>
        <v>463.57</v>
      </c>
    </row>
    <row r="32" spans="1:10" ht="23.25" customHeight="1" hidden="1">
      <c r="A32" s="24"/>
      <c r="B32" s="58" t="s">
        <v>85</v>
      </c>
      <c r="C32" s="26">
        <v>485</v>
      </c>
      <c r="D32" s="27">
        <v>743.34</v>
      </c>
      <c r="E32" s="26">
        <f t="shared" si="0"/>
        <v>360.52</v>
      </c>
      <c r="F32" s="26">
        <v>382</v>
      </c>
      <c r="G32" s="27">
        <v>775.25</v>
      </c>
      <c r="H32" s="26">
        <f t="shared" si="1"/>
        <v>296.15</v>
      </c>
      <c r="I32" s="26">
        <f t="shared" si="3"/>
        <v>867</v>
      </c>
      <c r="J32" s="26">
        <f t="shared" si="2"/>
        <v>656.67</v>
      </c>
    </row>
    <row r="33" spans="1:10" ht="23.25" customHeight="1" hidden="1">
      <c r="A33" s="24"/>
      <c r="B33" s="58" t="s">
        <v>86</v>
      </c>
      <c r="C33" s="26">
        <v>154</v>
      </c>
      <c r="D33" s="27">
        <v>743.34</v>
      </c>
      <c r="E33" s="26">
        <f t="shared" si="0"/>
        <v>114.47</v>
      </c>
      <c r="F33" s="26">
        <v>85</v>
      </c>
      <c r="G33" s="27">
        <v>775.25</v>
      </c>
      <c r="H33" s="26">
        <f t="shared" si="1"/>
        <v>65.9</v>
      </c>
      <c r="I33" s="26">
        <f t="shared" si="3"/>
        <v>239</v>
      </c>
      <c r="J33" s="26">
        <f t="shared" si="2"/>
        <v>180.37</v>
      </c>
    </row>
    <row r="34" spans="1:10" ht="23.25" customHeight="1" hidden="1">
      <c r="A34" s="24"/>
      <c r="B34" s="58" t="s">
        <v>87</v>
      </c>
      <c r="C34" s="26">
        <v>347</v>
      </c>
      <c r="D34" s="27">
        <v>743.34</v>
      </c>
      <c r="E34" s="26">
        <f t="shared" si="0"/>
        <v>257.94</v>
      </c>
      <c r="F34" s="26">
        <v>193</v>
      </c>
      <c r="G34" s="27">
        <v>775.25</v>
      </c>
      <c r="H34" s="26">
        <f t="shared" si="1"/>
        <v>149.62</v>
      </c>
      <c r="I34" s="26">
        <f t="shared" si="3"/>
        <v>540</v>
      </c>
      <c r="J34" s="26">
        <f t="shared" si="2"/>
        <v>407.56</v>
      </c>
    </row>
    <row r="35" spans="1:10" ht="23.25" customHeight="1" hidden="1">
      <c r="A35" s="24"/>
      <c r="B35" s="58" t="s">
        <v>88</v>
      </c>
      <c r="C35" s="26">
        <v>840</v>
      </c>
      <c r="D35" s="27">
        <v>743.34</v>
      </c>
      <c r="E35" s="26">
        <f t="shared" si="0"/>
        <v>624.41</v>
      </c>
      <c r="F35" s="26">
        <v>494</v>
      </c>
      <c r="G35" s="27">
        <v>775.25</v>
      </c>
      <c r="H35" s="26">
        <f t="shared" si="1"/>
        <v>382.97</v>
      </c>
      <c r="I35" s="26">
        <f t="shared" si="3"/>
        <v>1334</v>
      </c>
      <c r="J35" s="26">
        <f t="shared" si="2"/>
        <v>1007.38</v>
      </c>
    </row>
    <row r="36" spans="1:10" ht="23.25" customHeight="1" hidden="1">
      <c r="A36" s="24"/>
      <c r="B36" s="58" t="s">
        <v>89</v>
      </c>
      <c r="C36" s="26">
        <v>1037</v>
      </c>
      <c r="D36" s="27">
        <v>743.34</v>
      </c>
      <c r="E36" s="26">
        <f t="shared" si="0"/>
        <v>770.84</v>
      </c>
      <c r="F36" s="26">
        <v>597</v>
      </c>
      <c r="G36" s="27">
        <v>775.25</v>
      </c>
      <c r="H36" s="26">
        <f t="shared" si="1"/>
        <v>462.82</v>
      </c>
      <c r="I36" s="26">
        <f t="shared" si="3"/>
        <v>1634</v>
      </c>
      <c r="J36" s="26">
        <f t="shared" si="2"/>
        <v>1233.66</v>
      </c>
    </row>
    <row r="37" spans="1:10" ht="23.25" customHeight="1" hidden="1">
      <c r="A37" s="24"/>
      <c r="B37" s="58" t="s">
        <v>90</v>
      </c>
      <c r="C37" s="80">
        <v>371.588</v>
      </c>
      <c r="D37" s="27">
        <v>743.34</v>
      </c>
      <c r="E37" s="26">
        <f t="shared" si="0"/>
        <v>276.22</v>
      </c>
      <c r="F37" s="80">
        <v>256.412</v>
      </c>
      <c r="G37" s="27">
        <v>775.25</v>
      </c>
      <c r="H37" s="26">
        <f t="shared" si="1"/>
        <v>198.78</v>
      </c>
      <c r="I37" s="26">
        <f t="shared" si="3"/>
        <v>628</v>
      </c>
      <c r="J37" s="26">
        <f t="shared" si="2"/>
        <v>475</v>
      </c>
    </row>
    <row r="38" spans="1:10" ht="23.25" customHeight="1" hidden="1">
      <c r="A38" s="24"/>
      <c r="B38" s="58" t="s">
        <v>91</v>
      </c>
      <c r="C38" s="26">
        <v>430</v>
      </c>
      <c r="D38" s="27">
        <v>743.34</v>
      </c>
      <c r="E38" s="26">
        <f t="shared" si="0"/>
        <v>319.64</v>
      </c>
      <c r="F38" s="26">
        <v>323</v>
      </c>
      <c r="G38" s="27">
        <v>775.25</v>
      </c>
      <c r="H38" s="26">
        <f t="shared" si="1"/>
        <v>250.41</v>
      </c>
      <c r="I38" s="26">
        <f t="shared" si="3"/>
        <v>753</v>
      </c>
      <c r="J38" s="26">
        <f t="shared" si="2"/>
        <v>570.05</v>
      </c>
    </row>
    <row r="39" spans="1:10" ht="23.25" customHeight="1" hidden="1">
      <c r="A39" s="24"/>
      <c r="B39" s="58" t="s">
        <v>53</v>
      </c>
      <c r="C39" s="26">
        <v>607</v>
      </c>
      <c r="D39" s="27">
        <v>743.34</v>
      </c>
      <c r="E39" s="26">
        <f t="shared" si="0"/>
        <v>451.21</v>
      </c>
      <c r="F39" s="26">
        <v>405</v>
      </c>
      <c r="G39" s="27">
        <v>775.25</v>
      </c>
      <c r="H39" s="26">
        <f t="shared" si="1"/>
        <v>313.98</v>
      </c>
      <c r="I39" s="26">
        <f t="shared" si="3"/>
        <v>1012</v>
      </c>
      <c r="J39" s="26">
        <f t="shared" si="2"/>
        <v>765.19</v>
      </c>
    </row>
    <row r="40" spans="1:10" ht="23.25" customHeight="1" hidden="1">
      <c r="A40" s="24"/>
      <c r="B40" s="58" t="s">
        <v>131</v>
      </c>
      <c r="C40" s="26">
        <v>595</v>
      </c>
      <c r="D40" s="27">
        <v>743.34</v>
      </c>
      <c r="E40" s="26">
        <f>C40*D40/1000</f>
        <v>442.29</v>
      </c>
      <c r="F40" s="26">
        <v>415</v>
      </c>
      <c r="G40" s="27">
        <v>775.25</v>
      </c>
      <c r="H40" s="26">
        <f>F40*G40/1000</f>
        <v>321.73</v>
      </c>
      <c r="I40" s="26">
        <f t="shared" si="3"/>
        <v>1010</v>
      </c>
      <c r="J40" s="26">
        <f>E40+H40</f>
        <v>764.02</v>
      </c>
    </row>
    <row r="41" spans="1:10" ht="31.5" customHeight="1">
      <c r="A41" s="24">
        <v>4</v>
      </c>
      <c r="B41" s="58" t="s">
        <v>124</v>
      </c>
      <c r="C41" s="26">
        <f>SUM(C42:C58)</f>
        <v>1730.94</v>
      </c>
      <c r="D41" s="27">
        <v>743.34</v>
      </c>
      <c r="E41" s="26">
        <f>SUM(E42:E58)</f>
        <v>1286.68</v>
      </c>
      <c r="F41" s="26">
        <f>SUM(F42:F58)</f>
        <v>895.14</v>
      </c>
      <c r="G41" s="27">
        <v>775.25</v>
      </c>
      <c r="H41" s="26">
        <f>SUM(H42:H58)</f>
        <v>693.95</v>
      </c>
      <c r="I41" s="26">
        <f>F41+C41</f>
        <v>2626.08</v>
      </c>
      <c r="J41" s="26">
        <f>H41+E41</f>
        <v>1980.63</v>
      </c>
    </row>
    <row r="42" spans="1:10" ht="23.25" customHeight="1" hidden="1">
      <c r="A42" s="24"/>
      <c r="B42" s="58" t="s">
        <v>4</v>
      </c>
      <c r="C42" s="26">
        <v>194.86</v>
      </c>
      <c r="D42" s="27">
        <v>743.34</v>
      </c>
      <c r="E42" s="26">
        <f t="shared" si="0"/>
        <v>144.85</v>
      </c>
      <c r="F42" s="26">
        <v>12.14</v>
      </c>
      <c r="G42" s="27">
        <v>775.25</v>
      </c>
      <c r="H42" s="26">
        <f t="shared" si="1"/>
        <v>9.41</v>
      </c>
      <c r="I42" s="26">
        <f>C42+F42</f>
        <v>207</v>
      </c>
      <c r="J42" s="26">
        <f t="shared" si="2"/>
        <v>154.26</v>
      </c>
    </row>
    <row r="43" spans="1:10" ht="23.25" customHeight="1" hidden="1">
      <c r="A43" s="28"/>
      <c r="B43" s="59" t="s">
        <v>39</v>
      </c>
      <c r="C43" s="29"/>
      <c r="D43" s="27"/>
      <c r="E43" s="29"/>
      <c r="F43" s="29"/>
      <c r="G43" s="27"/>
      <c r="H43" s="29"/>
      <c r="I43" s="29"/>
      <c r="J43" s="29"/>
    </row>
    <row r="44" spans="1:10" ht="23.25" customHeight="1" hidden="1">
      <c r="A44" s="30"/>
      <c r="B44" s="60" t="s">
        <v>38</v>
      </c>
      <c r="C44" s="81">
        <v>142.97</v>
      </c>
      <c r="D44" s="27">
        <v>743.34</v>
      </c>
      <c r="E44" s="27">
        <f t="shared" si="0"/>
        <v>106.28</v>
      </c>
      <c r="F44" s="81">
        <v>43.03</v>
      </c>
      <c r="G44" s="27">
        <v>775.25</v>
      </c>
      <c r="H44" s="27">
        <f t="shared" si="1"/>
        <v>33.36</v>
      </c>
      <c r="I44" s="27">
        <f>C44+F44</f>
        <v>186</v>
      </c>
      <c r="J44" s="27">
        <f t="shared" si="2"/>
        <v>139.64</v>
      </c>
    </row>
    <row r="45" spans="1:10" ht="23.25" customHeight="1" hidden="1">
      <c r="A45" s="30"/>
      <c r="B45" s="60" t="s">
        <v>40</v>
      </c>
      <c r="C45" s="81">
        <v>152.3</v>
      </c>
      <c r="D45" s="27">
        <v>743.34</v>
      </c>
      <c r="E45" s="27">
        <f t="shared" si="0"/>
        <v>113.21</v>
      </c>
      <c r="F45" s="81">
        <v>32.45</v>
      </c>
      <c r="G45" s="27">
        <v>775.25</v>
      </c>
      <c r="H45" s="27">
        <f t="shared" si="1"/>
        <v>25.16</v>
      </c>
      <c r="I45" s="27">
        <f>C45+F45</f>
        <v>184.75</v>
      </c>
      <c r="J45" s="27">
        <f t="shared" si="2"/>
        <v>138.37</v>
      </c>
    </row>
    <row r="46" spans="1:10" ht="33" customHeight="1" hidden="1">
      <c r="A46" s="28"/>
      <c r="B46" s="61" t="s">
        <v>63</v>
      </c>
      <c r="C46" s="27">
        <v>114.91</v>
      </c>
      <c r="D46" s="27">
        <v>743.34</v>
      </c>
      <c r="E46" s="27">
        <f t="shared" si="0"/>
        <v>85.42</v>
      </c>
      <c r="F46" s="27">
        <v>55.73</v>
      </c>
      <c r="G46" s="27">
        <v>775.25</v>
      </c>
      <c r="H46" s="27">
        <f t="shared" si="1"/>
        <v>43.2</v>
      </c>
      <c r="I46" s="27">
        <f>C46+F46</f>
        <v>170.64</v>
      </c>
      <c r="J46" s="27">
        <f t="shared" si="2"/>
        <v>128.62</v>
      </c>
    </row>
    <row r="47" spans="1:10" ht="23.25" customHeight="1" hidden="1">
      <c r="A47" s="28"/>
      <c r="B47" s="61" t="s">
        <v>92</v>
      </c>
      <c r="C47" s="27">
        <v>135.23</v>
      </c>
      <c r="D47" s="27">
        <v>743.34</v>
      </c>
      <c r="E47" s="27">
        <f t="shared" si="0"/>
        <v>100.52</v>
      </c>
      <c r="F47" s="27">
        <v>36.66</v>
      </c>
      <c r="G47" s="27">
        <v>775.25</v>
      </c>
      <c r="H47" s="27">
        <f t="shared" si="1"/>
        <v>28.42</v>
      </c>
      <c r="I47" s="27">
        <f>C47+F47</f>
        <v>171.89</v>
      </c>
      <c r="J47" s="27">
        <f t="shared" si="2"/>
        <v>128.94</v>
      </c>
    </row>
    <row r="48" spans="1:10" ht="23.25" customHeight="1" hidden="1">
      <c r="A48" s="28"/>
      <c r="B48" s="61" t="s">
        <v>93</v>
      </c>
      <c r="C48" s="27"/>
      <c r="D48" s="27"/>
      <c r="E48" s="27"/>
      <c r="F48" s="27"/>
      <c r="G48" s="27"/>
      <c r="H48" s="27"/>
      <c r="I48" s="27"/>
      <c r="J48" s="27"/>
    </row>
    <row r="49" spans="1:10" ht="23.25" customHeight="1" hidden="1">
      <c r="A49" s="28"/>
      <c r="B49" s="60" t="s">
        <v>94</v>
      </c>
      <c r="C49" s="81">
        <v>142.63</v>
      </c>
      <c r="D49" s="27">
        <v>743.34</v>
      </c>
      <c r="E49" s="27">
        <f t="shared" si="0"/>
        <v>106.02</v>
      </c>
      <c r="F49" s="81">
        <v>36.36</v>
      </c>
      <c r="G49" s="27">
        <v>775.25</v>
      </c>
      <c r="H49" s="27">
        <f t="shared" si="1"/>
        <v>28.19</v>
      </c>
      <c r="I49" s="27">
        <f aca="true" t="shared" si="4" ref="I49:I58">C49+F49</f>
        <v>178.99</v>
      </c>
      <c r="J49" s="27">
        <f t="shared" si="2"/>
        <v>134.21</v>
      </c>
    </row>
    <row r="50" spans="1:10" ht="23.25" customHeight="1" hidden="1">
      <c r="A50" s="28"/>
      <c r="B50" s="60" t="s">
        <v>95</v>
      </c>
      <c r="C50" s="81">
        <v>126.37</v>
      </c>
      <c r="D50" s="27">
        <v>743.34</v>
      </c>
      <c r="E50" s="27">
        <f t="shared" si="0"/>
        <v>93.94</v>
      </c>
      <c r="F50" s="81">
        <v>35.63</v>
      </c>
      <c r="G50" s="27">
        <v>775.25</v>
      </c>
      <c r="H50" s="27">
        <f t="shared" si="1"/>
        <v>27.62</v>
      </c>
      <c r="I50" s="27">
        <f t="shared" si="4"/>
        <v>162</v>
      </c>
      <c r="J50" s="27">
        <f t="shared" si="2"/>
        <v>121.56</v>
      </c>
    </row>
    <row r="51" spans="1:10" ht="23.25" customHeight="1" hidden="1">
      <c r="A51" s="28"/>
      <c r="B51" s="60" t="s">
        <v>96</v>
      </c>
      <c r="C51" s="81">
        <v>92.49</v>
      </c>
      <c r="D51" s="27">
        <v>743.34</v>
      </c>
      <c r="E51" s="27">
        <f t="shared" si="0"/>
        <v>68.75</v>
      </c>
      <c r="F51" s="81">
        <v>63.81</v>
      </c>
      <c r="G51" s="27">
        <v>775.25</v>
      </c>
      <c r="H51" s="27">
        <f t="shared" si="1"/>
        <v>49.47</v>
      </c>
      <c r="I51" s="27">
        <f t="shared" si="4"/>
        <v>156.3</v>
      </c>
      <c r="J51" s="27">
        <f t="shared" si="2"/>
        <v>118.22</v>
      </c>
    </row>
    <row r="52" spans="1:10" ht="23.25" customHeight="1" hidden="1">
      <c r="A52" s="28"/>
      <c r="B52" s="60" t="s">
        <v>97</v>
      </c>
      <c r="C52" s="81">
        <v>87.94</v>
      </c>
      <c r="D52" s="27">
        <v>743.34</v>
      </c>
      <c r="E52" s="27">
        <f t="shared" si="0"/>
        <v>65.37</v>
      </c>
      <c r="F52" s="81">
        <v>17.38</v>
      </c>
      <c r="G52" s="27">
        <v>775.25</v>
      </c>
      <c r="H52" s="27">
        <f t="shared" si="1"/>
        <v>13.47</v>
      </c>
      <c r="I52" s="27">
        <f t="shared" si="4"/>
        <v>105.32</v>
      </c>
      <c r="J52" s="27">
        <f t="shared" si="2"/>
        <v>78.84</v>
      </c>
    </row>
    <row r="53" spans="1:10" ht="23.25" customHeight="1" hidden="1">
      <c r="A53" s="28"/>
      <c r="B53" s="60" t="s">
        <v>98</v>
      </c>
      <c r="C53" s="81">
        <v>28.52</v>
      </c>
      <c r="D53" s="27">
        <v>743.34</v>
      </c>
      <c r="E53" s="27">
        <f t="shared" si="0"/>
        <v>21.2</v>
      </c>
      <c r="F53" s="81">
        <v>20.73</v>
      </c>
      <c r="G53" s="27">
        <v>775.25</v>
      </c>
      <c r="H53" s="27">
        <f t="shared" si="1"/>
        <v>16.07</v>
      </c>
      <c r="I53" s="27">
        <f t="shared" si="4"/>
        <v>49.25</v>
      </c>
      <c r="J53" s="27">
        <f t="shared" si="2"/>
        <v>37.27</v>
      </c>
    </row>
    <row r="54" spans="1:10" ht="23.25" customHeight="1" hidden="1">
      <c r="A54" s="28"/>
      <c r="B54" s="60" t="s">
        <v>99</v>
      </c>
      <c r="C54" s="81">
        <v>59.83</v>
      </c>
      <c r="D54" s="27">
        <v>743.34</v>
      </c>
      <c r="E54" s="27">
        <f t="shared" si="0"/>
        <v>44.47</v>
      </c>
      <c r="F54" s="81">
        <v>17.18</v>
      </c>
      <c r="G54" s="27">
        <v>775.25</v>
      </c>
      <c r="H54" s="27">
        <f t="shared" si="1"/>
        <v>13.32</v>
      </c>
      <c r="I54" s="27">
        <f t="shared" si="4"/>
        <v>77.01</v>
      </c>
      <c r="J54" s="27">
        <f t="shared" si="2"/>
        <v>57.79</v>
      </c>
    </row>
    <row r="55" spans="1:10" ht="23.25" customHeight="1" hidden="1">
      <c r="A55" s="28"/>
      <c r="B55" s="60" t="s">
        <v>148</v>
      </c>
      <c r="C55" s="81">
        <v>25.26</v>
      </c>
      <c r="D55" s="27">
        <v>743.34</v>
      </c>
      <c r="E55" s="27">
        <f t="shared" si="0"/>
        <v>18.78</v>
      </c>
      <c r="F55" s="81">
        <v>15.82</v>
      </c>
      <c r="G55" s="27">
        <v>775.25</v>
      </c>
      <c r="H55" s="27">
        <f t="shared" si="1"/>
        <v>12.26</v>
      </c>
      <c r="I55" s="27">
        <f t="shared" si="4"/>
        <v>41.08</v>
      </c>
      <c r="J55" s="27">
        <f t="shared" si="2"/>
        <v>31.04</v>
      </c>
    </row>
    <row r="56" spans="1:10" ht="23.25" customHeight="1" hidden="1">
      <c r="A56" s="28"/>
      <c r="B56" s="61" t="s">
        <v>100</v>
      </c>
      <c r="C56" s="27">
        <v>92.55</v>
      </c>
      <c r="D56" s="27">
        <v>743.34</v>
      </c>
      <c r="E56" s="27">
        <f t="shared" si="0"/>
        <v>68.8</v>
      </c>
      <c r="F56" s="27">
        <v>82.46</v>
      </c>
      <c r="G56" s="27">
        <v>775.25</v>
      </c>
      <c r="H56" s="27">
        <f t="shared" si="1"/>
        <v>63.93</v>
      </c>
      <c r="I56" s="27">
        <f t="shared" si="4"/>
        <v>175.01</v>
      </c>
      <c r="J56" s="27">
        <f t="shared" si="2"/>
        <v>132.73</v>
      </c>
    </row>
    <row r="57" spans="1:10" ht="23.25" customHeight="1" hidden="1">
      <c r="A57" s="28"/>
      <c r="B57" s="61" t="s">
        <v>101</v>
      </c>
      <c r="C57" s="27">
        <v>159.34</v>
      </c>
      <c r="D57" s="27">
        <v>743.34</v>
      </c>
      <c r="E57" s="27">
        <f t="shared" si="0"/>
        <v>118.44</v>
      </c>
      <c r="F57" s="27">
        <v>230.61</v>
      </c>
      <c r="G57" s="27">
        <v>775.25</v>
      </c>
      <c r="H57" s="27">
        <f t="shared" si="1"/>
        <v>178.78</v>
      </c>
      <c r="I57" s="27">
        <f t="shared" si="4"/>
        <v>389.95</v>
      </c>
      <c r="J57" s="27">
        <f t="shared" si="2"/>
        <v>297.22</v>
      </c>
    </row>
    <row r="58" spans="1:10" ht="23.25" customHeight="1" hidden="1">
      <c r="A58" s="28"/>
      <c r="B58" s="61" t="s">
        <v>102</v>
      </c>
      <c r="C58" s="27">
        <v>175.74</v>
      </c>
      <c r="D58" s="27">
        <v>743.34</v>
      </c>
      <c r="E58" s="27">
        <f t="shared" si="0"/>
        <v>130.63</v>
      </c>
      <c r="F58" s="27">
        <v>195.15</v>
      </c>
      <c r="G58" s="27">
        <v>775.25</v>
      </c>
      <c r="H58" s="27">
        <f t="shared" si="1"/>
        <v>151.29</v>
      </c>
      <c r="I58" s="27">
        <f t="shared" si="4"/>
        <v>370.89</v>
      </c>
      <c r="J58" s="27">
        <f t="shared" si="2"/>
        <v>281.92</v>
      </c>
    </row>
    <row r="59" spans="1:10" ht="21" customHeight="1" hidden="1">
      <c r="A59" s="28"/>
      <c r="B59" s="61" t="s">
        <v>57</v>
      </c>
      <c r="C59" s="100" t="s">
        <v>154</v>
      </c>
      <c r="D59" s="101"/>
      <c r="E59" s="101"/>
      <c r="F59" s="101"/>
      <c r="G59" s="101"/>
      <c r="H59" s="101"/>
      <c r="I59" s="101"/>
      <c r="J59" s="102"/>
    </row>
    <row r="60" spans="1:10" ht="14.25" customHeight="1">
      <c r="A60" s="28">
        <v>5</v>
      </c>
      <c r="B60" s="61" t="s">
        <v>58</v>
      </c>
      <c r="C60" s="27">
        <v>0</v>
      </c>
      <c r="D60" s="27">
        <v>743.34</v>
      </c>
      <c r="E60" s="27">
        <f aca="true" t="shared" si="5" ref="E60:E69">C60*D60/1000</f>
        <v>0</v>
      </c>
      <c r="F60" s="27">
        <v>0</v>
      </c>
      <c r="G60" s="27">
        <v>775.25</v>
      </c>
      <c r="H60" s="27">
        <f aca="true" t="shared" si="6" ref="H60:H70">F60*G60/1000</f>
        <v>0</v>
      </c>
      <c r="I60" s="27">
        <f aca="true" t="shared" si="7" ref="I60:I69">C60+F60</f>
        <v>0</v>
      </c>
      <c r="J60" s="27">
        <f aca="true" t="shared" si="8" ref="J60:J70">E60+H60</f>
        <v>0</v>
      </c>
    </row>
    <row r="61" spans="1:10" ht="26.25" customHeight="1">
      <c r="A61" s="28">
        <v>6</v>
      </c>
      <c r="B61" s="61" t="s">
        <v>103</v>
      </c>
      <c r="C61" s="27">
        <v>135</v>
      </c>
      <c r="D61" s="27">
        <v>743.34</v>
      </c>
      <c r="E61" s="27">
        <f t="shared" si="5"/>
        <v>100.35</v>
      </c>
      <c r="F61" s="27">
        <v>56.94</v>
      </c>
      <c r="G61" s="27">
        <v>775.25</v>
      </c>
      <c r="H61" s="27">
        <f t="shared" si="6"/>
        <v>44.14</v>
      </c>
      <c r="I61" s="27">
        <f t="shared" si="7"/>
        <v>191.94</v>
      </c>
      <c r="J61" s="27">
        <f t="shared" si="8"/>
        <v>144.49</v>
      </c>
    </row>
    <row r="62" spans="1:10" ht="27.75" customHeight="1">
      <c r="A62" s="28">
        <v>7</v>
      </c>
      <c r="B62" s="61" t="s">
        <v>126</v>
      </c>
      <c r="C62" s="27">
        <f>C63+C64</f>
        <v>1016.93</v>
      </c>
      <c r="D62" s="27">
        <v>743.34</v>
      </c>
      <c r="E62" s="26">
        <f>E63+E64</f>
        <v>755.93</v>
      </c>
      <c r="F62" s="27">
        <f>F63+F64</f>
        <v>1016.93</v>
      </c>
      <c r="G62" s="27">
        <v>775.25</v>
      </c>
      <c r="H62" s="26">
        <f>H63+H64</f>
        <v>788.37</v>
      </c>
      <c r="I62" s="27">
        <f t="shared" si="7"/>
        <v>2033.86</v>
      </c>
      <c r="J62" s="27">
        <f t="shared" si="8"/>
        <v>1544.3</v>
      </c>
    </row>
    <row r="63" spans="1:10" ht="18.75" customHeight="1">
      <c r="A63" s="24"/>
      <c r="B63" s="58" t="s">
        <v>104</v>
      </c>
      <c r="C63" s="27">
        <v>25.22</v>
      </c>
      <c r="D63" s="27">
        <v>743.34</v>
      </c>
      <c r="E63" s="27">
        <f t="shared" si="5"/>
        <v>18.75</v>
      </c>
      <c r="F63" s="27">
        <v>25.22</v>
      </c>
      <c r="G63" s="27">
        <v>775.25</v>
      </c>
      <c r="H63" s="26">
        <f t="shared" si="6"/>
        <v>19.55</v>
      </c>
      <c r="I63" s="26">
        <f t="shared" si="7"/>
        <v>50.44</v>
      </c>
      <c r="J63" s="26">
        <f t="shared" si="8"/>
        <v>38.3</v>
      </c>
    </row>
    <row r="64" spans="1:10" ht="16.5" customHeight="1">
      <c r="A64" s="24"/>
      <c r="B64" s="58" t="s">
        <v>105</v>
      </c>
      <c r="C64" s="27">
        <f>938.44+53.27</f>
        <v>991.71</v>
      </c>
      <c r="D64" s="27">
        <v>743.34</v>
      </c>
      <c r="E64" s="26">
        <f t="shared" si="5"/>
        <v>737.18</v>
      </c>
      <c r="F64" s="27">
        <f>938.44+53.27</f>
        <v>991.71</v>
      </c>
      <c r="G64" s="27">
        <v>775.25</v>
      </c>
      <c r="H64" s="26">
        <f t="shared" si="6"/>
        <v>768.82</v>
      </c>
      <c r="I64" s="26">
        <f t="shared" si="7"/>
        <v>1983.42</v>
      </c>
      <c r="J64" s="26">
        <f t="shared" si="8"/>
        <v>1506</v>
      </c>
    </row>
    <row r="65" spans="1:10" ht="20.25" customHeight="1">
      <c r="A65" s="24">
        <v>8</v>
      </c>
      <c r="B65" s="58" t="s">
        <v>56</v>
      </c>
      <c r="C65" s="26">
        <f>C66+C67</f>
        <v>30.94</v>
      </c>
      <c r="D65" s="27">
        <v>743.34</v>
      </c>
      <c r="E65" s="26">
        <f>E66+E67</f>
        <v>23</v>
      </c>
      <c r="F65" s="26">
        <f>F66+F67</f>
        <v>30.94</v>
      </c>
      <c r="G65" s="27">
        <v>775.25</v>
      </c>
      <c r="H65" s="26">
        <f>H66+H67</f>
        <v>23.98</v>
      </c>
      <c r="I65" s="26">
        <f>I66+I67</f>
        <v>61.87</v>
      </c>
      <c r="J65" s="26">
        <f>J66+J67</f>
        <v>46.98</v>
      </c>
    </row>
    <row r="66" spans="1:10" ht="23.25" customHeight="1" hidden="1">
      <c r="A66" s="24"/>
      <c r="B66" s="58" t="s">
        <v>6</v>
      </c>
      <c r="C66" s="27">
        <v>30.935</v>
      </c>
      <c r="D66" s="27">
        <v>743.34</v>
      </c>
      <c r="E66" s="27">
        <f t="shared" si="5"/>
        <v>23</v>
      </c>
      <c r="F66" s="27">
        <v>30.935</v>
      </c>
      <c r="G66" s="27">
        <v>775.25</v>
      </c>
      <c r="H66" s="26">
        <f t="shared" si="6"/>
        <v>23.98</v>
      </c>
      <c r="I66" s="26">
        <f>C66+F66</f>
        <v>61.87</v>
      </c>
      <c r="J66" s="26">
        <f t="shared" si="8"/>
        <v>46.98</v>
      </c>
    </row>
    <row r="67" spans="1:10" ht="23.25" customHeight="1" hidden="1">
      <c r="A67" s="24"/>
      <c r="B67" s="58" t="s">
        <v>107</v>
      </c>
      <c r="C67" s="26">
        <v>0</v>
      </c>
      <c r="D67" s="27">
        <v>743.34</v>
      </c>
      <c r="E67" s="26">
        <f t="shared" si="5"/>
        <v>0</v>
      </c>
      <c r="F67" s="26">
        <v>0</v>
      </c>
      <c r="G67" s="27">
        <v>775.25</v>
      </c>
      <c r="H67" s="26">
        <f t="shared" si="6"/>
        <v>0</v>
      </c>
      <c r="I67" s="26">
        <f t="shared" si="7"/>
        <v>0</v>
      </c>
      <c r="J67" s="26">
        <f t="shared" si="8"/>
        <v>0</v>
      </c>
    </row>
    <row r="68" spans="1:10" ht="26.25" customHeight="1">
      <c r="A68" s="24">
        <v>9</v>
      </c>
      <c r="B68" s="58" t="s">
        <v>47</v>
      </c>
      <c r="C68" s="26">
        <f>C69+C70</f>
        <v>562.97</v>
      </c>
      <c r="D68" s="27">
        <v>743.34</v>
      </c>
      <c r="E68" s="26">
        <f>E69+E70</f>
        <v>418.48</v>
      </c>
      <c r="F68" s="26">
        <f>F69+F70</f>
        <v>321.89</v>
      </c>
      <c r="G68" s="27">
        <v>775.25</v>
      </c>
      <c r="H68" s="26">
        <f>H69+H70</f>
        <v>249.54</v>
      </c>
      <c r="I68" s="26">
        <f>C68+F68</f>
        <v>884.86</v>
      </c>
      <c r="J68" s="26">
        <f t="shared" si="8"/>
        <v>668.02</v>
      </c>
    </row>
    <row r="69" spans="1:10" ht="29.25" customHeight="1" hidden="1">
      <c r="A69" s="24"/>
      <c r="B69" s="58" t="s">
        <v>47</v>
      </c>
      <c r="C69" s="26">
        <v>244.77</v>
      </c>
      <c r="D69" s="27">
        <v>743.34</v>
      </c>
      <c r="E69" s="26">
        <f t="shared" si="5"/>
        <v>181.95</v>
      </c>
      <c r="F69" s="26">
        <v>111.89</v>
      </c>
      <c r="G69" s="27">
        <v>775.25</v>
      </c>
      <c r="H69" s="26">
        <f t="shared" si="6"/>
        <v>86.74</v>
      </c>
      <c r="I69" s="26">
        <f t="shared" si="7"/>
        <v>356.66</v>
      </c>
      <c r="J69" s="26">
        <f t="shared" si="8"/>
        <v>268.69</v>
      </c>
    </row>
    <row r="70" spans="1:10" ht="33.75" customHeight="1" hidden="1">
      <c r="A70" s="24"/>
      <c r="B70" s="58" t="s">
        <v>52</v>
      </c>
      <c r="C70" s="26">
        <v>318.2</v>
      </c>
      <c r="D70" s="27">
        <v>743.34</v>
      </c>
      <c r="E70" s="26">
        <f>C70*D70/1000</f>
        <v>236.53</v>
      </c>
      <c r="F70" s="26">
        <v>210</v>
      </c>
      <c r="G70" s="27">
        <v>775.25</v>
      </c>
      <c r="H70" s="26">
        <f t="shared" si="6"/>
        <v>162.8</v>
      </c>
      <c r="I70" s="26">
        <f>C70+F70</f>
        <v>528.2</v>
      </c>
      <c r="J70" s="26">
        <f t="shared" si="8"/>
        <v>399.33</v>
      </c>
    </row>
    <row r="71" spans="1:10" s="5" customFormat="1" ht="12.75" customHeight="1">
      <c r="A71" s="103" t="s">
        <v>34</v>
      </c>
      <c r="B71" s="104"/>
      <c r="C71" s="32">
        <f>C68+C65+C62+C61+C60+C41+C17+C16+C15</f>
        <v>16180.56</v>
      </c>
      <c r="D71" s="32">
        <v>743.34</v>
      </c>
      <c r="E71" s="32">
        <f>E68+E65+E62+E61+E60+E59+E41+E17+E16+E15</f>
        <v>12027.67</v>
      </c>
      <c r="F71" s="32">
        <f>F68+F65+F62+F61+F60+F59+F41+F17+F16+F15</f>
        <v>10653.02</v>
      </c>
      <c r="G71" s="33">
        <v>775.25</v>
      </c>
      <c r="H71" s="32">
        <f>H68+H65+H62+H61+H60+H59+H41+H17+H16+H15</f>
        <v>8258.75</v>
      </c>
      <c r="I71" s="32">
        <f>I68+I65+I62+I61+I60+I59+I41+I17+I16+I15</f>
        <v>26833.56</v>
      </c>
      <c r="J71" s="32">
        <f>J68+J65+J62+J61+J60+J59+J41+J17+J16+J15</f>
        <v>20286.42</v>
      </c>
    </row>
    <row r="74" ht="12.75">
      <c r="I74" s="45"/>
    </row>
  </sheetData>
  <sheetProtection/>
  <mergeCells count="22">
    <mergeCell ref="H13:H14"/>
    <mergeCell ref="J13:J14"/>
    <mergeCell ref="H6:J6"/>
    <mergeCell ref="H7:J7"/>
    <mergeCell ref="B10:J10"/>
    <mergeCell ref="I12:J12"/>
    <mergeCell ref="I13:I14"/>
    <mergeCell ref="H1:J1"/>
    <mergeCell ref="H2:J2"/>
    <mergeCell ref="H3:J3"/>
    <mergeCell ref="F12:H12"/>
    <mergeCell ref="H5:J5"/>
    <mergeCell ref="C59:J59"/>
    <mergeCell ref="A71:B71"/>
    <mergeCell ref="E13:E14"/>
    <mergeCell ref="F13:F14"/>
    <mergeCell ref="G13:G14"/>
    <mergeCell ref="D13:D14"/>
    <mergeCell ref="A12:A14"/>
    <mergeCell ref="B12:B14"/>
    <mergeCell ref="C12:E12"/>
    <mergeCell ref="C13:C14"/>
  </mergeCells>
  <printOptions/>
  <pageMargins left="0.57" right="0.24" top="0.4724409448818898" bottom="0.3937007874015748" header="0" footer="0.196850393700787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CX162"/>
  <sheetViews>
    <sheetView zoomScaleSheetLayoutView="80" workbookViewId="0" topLeftCell="C2">
      <selection activeCell="S8" sqref="S8"/>
    </sheetView>
  </sheetViews>
  <sheetFormatPr defaultColWidth="9.00390625" defaultRowHeight="12.75"/>
  <cols>
    <col min="1" max="1" width="6.00390625" style="6" customWidth="1"/>
    <col min="2" max="2" width="30.75390625" style="7" customWidth="1"/>
    <col min="3" max="4" width="11.00390625" style="8" customWidth="1"/>
    <col min="5" max="5" width="10.125" style="8" customWidth="1"/>
    <col min="6" max="6" width="10.75390625" style="8" customWidth="1"/>
    <col min="7" max="8" width="9.75390625" style="8" customWidth="1"/>
    <col min="9" max="9" width="11.00390625" style="8" customWidth="1"/>
    <col min="10" max="10" width="10.75390625" style="8" customWidth="1"/>
    <col min="11" max="11" width="10.25390625" style="8" customWidth="1"/>
    <col min="12" max="12" width="10.125" style="8" customWidth="1"/>
    <col min="13" max="14" width="9.75390625" style="8" customWidth="1"/>
    <col min="15" max="15" width="11.00390625" style="8" customWidth="1"/>
    <col min="16" max="16" width="10.75390625" style="8" customWidth="1"/>
    <col min="17" max="17" width="9.375" style="8" customWidth="1"/>
    <col min="18" max="18" width="9.75390625" style="8" customWidth="1"/>
    <col min="19" max="19" width="28.125" style="8" customWidth="1"/>
    <col min="20" max="16384" width="9.125" style="8" customWidth="1"/>
  </cols>
  <sheetData>
    <row r="1" spans="15:18" ht="12.75">
      <c r="O1" s="108" t="s">
        <v>122</v>
      </c>
      <c r="P1" s="108"/>
      <c r="Q1" s="108"/>
      <c r="R1" s="108"/>
    </row>
    <row r="2" spans="15:18" ht="12.75">
      <c r="O2" s="108" t="s">
        <v>109</v>
      </c>
      <c r="P2" s="108"/>
      <c r="Q2" s="108"/>
      <c r="R2" s="108"/>
    </row>
    <row r="3" spans="15:18" ht="12.75">
      <c r="O3" s="108" t="s">
        <v>162</v>
      </c>
      <c r="P3" s="108"/>
      <c r="Q3" s="108"/>
      <c r="R3" s="108"/>
    </row>
    <row r="4" spans="15:18" ht="12.75">
      <c r="O4" s="74"/>
      <c r="P4" s="74"/>
      <c r="Q4" s="74"/>
      <c r="R4" s="74"/>
    </row>
    <row r="5" spans="1:18" s="12" customFormat="1" ht="12.75" customHeight="1">
      <c r="A5" s="77"/>
      <c r="B5" s="82"/>
      <c r="C5" s="79"/>
      <c r="D5" s="79"/>
      <c r="K5" s="78"/>
      <c r="L5" s="78"/>
      <c r="O5" s="108" t="s">
        <v>122</v>
      </c>
      <c r="P5" s="108"/>
      <c r="Q5" s="108"/>
      <c r="R5" s="108"/>
    </row>
    <row r="6" spans="1:18" s="12" customFormat="1" ht="12.75" customHeight="1">
      <c r="A6" s="77"/>
      <c r="B6" s="71"/>
      <c r="C6" s="79"/>
      <c r="D6" s="79"/>
      <c r="K6" s="78"/>
      <c r="L6" s="78"/>
      <c r="O6" s="108" t="s">
        <v>109</v>
      </c>
      <c r="P6" s="108"/>
      <c r="Q6" s="108"/>
      <c r="R6" s="108"/>
    </row>
    <row r="7" spans="1:18" s="12" customFormat="1" ht="12.75" customHeight="1">
      <c r="A7" s="77"/>
      <c r="B7" s="82"/>
      <c r="C7" s="79"/>
      <c r="D7" s="79"/>
      <c r="K7" s="78"/>
      <c r="L7" s="78"/>
      <c r="O7" s="108" t="s">
        <v>152</v>
      </c>
      <c r="P7" s="108"/>
      <c r="Q7" s="108"/>
      <c r="R7" s="108"/>
    </row>
    <row r="8" ht="21" customHeight="1"/>
    <row r="9" spans="1:18" ht="19.5" customHeight="1">
      <c r="A9" s="96" t="s">
        <v>138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4" ht="16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8" s="14" customFormat="1" ht="12.75">
      <c r="A11" s="106" t="s">
        <v>67</v>
      </c>
      <c r="B11" s="114" t="s">
        <v>68</v>
      </c>
      <c r="C11" s="111" t="s">
        <v>136</v>
      </c>
      <c r="D11" s="111"/>
      <c r="E11" s="105"/>
      <c r="F11" s="105"/>
      <c r="G11" s="105"/>
      <c r="H11" s="105"/>
      <c r="I11" s="111" t="s">
        <v>137</v>
      </c>
      <c r="J11" s="111"/>
      <c r="K11" s="105"/>
      <c r="L11" s="105"/>
      <c r="M11" s="105"/>
      <c r="N11" s="105"/>
      <c r="O11" s="111" t="s">
        <v>134</v>
      </c>
      <c r="P11" s="111"/>
      <c r="Q11" s="111"/>
      <c r="R11" s="105"/>
    </row>
    <row r="12" spans="1:18" s="14" customFormat="1" ht="27" customHeight="1">
      <c r="A12" s="106"/>
      <c r="B12" s="115"/>
      <c r="C12" s="111" t="s">
        <v>49</v>
      </c>
      <c r="D12" s="111" t="s">
        <v>69</v>
      </c>
      <c r="E12" s="97" t="s">
        <v>149</v>
      </c>
      <c r="F12" s="98"/>
      <c r="G12" s="112" t="s">
        <v>110</v>
      </c>
      <c r="H12" s="95"/>
      <c r="I12" s="111" t="s">
        <v>49</v>
      </c>
      <c r="J12" s="111" t="s">
        <v>69</v>
      </c>
      <c r="K12" s="97" t="s">
        <v>149</v>
      </c>
      <c r="L12" s="98"/>
      <c r="M12" s="112" t="s">
        <v>110</v>
      </c>
      <c r="N12" s="95"/>
      <c r="O12" s="111" t="s">
        <v>49</v>
      </c>
      <c r="P12" s="111" t="s">
        <v>69</v>
      </c>
      <c r="Q12" s="112" t="s">
        <v>110</v>
      </c>
      <c r="R12" s="95"/>
    </row>
    <row r="13" spans="1:18" s="14" customFormat="1" ht="27" customHeight="1">
      <c r="A13" s="106"/>
      <c r="B13" s="115"/>
      <c r="C13" s="111"/>
      <c r="D13" s="111"/>
      <c r="E13" s="109" t="s">
        <v>150</v>
      </c>
      <c r="F13" s="105" t="s">
        <v>151</v>
      </c>
      <c r="G13" s="109" t="s">
        <v>155</v>
      </c>
      <c r="H13" s="105" t="s">
        <v>156</v>
      </c>
      <c r="I13" s="111"/>
      <c r="J13" s="111"/>
      <c r="K13" s="109" t="s">
        <v>150</v>
      </c>
      <c r="L13" s="105" t="s">
        <v>151</v>
      </c>
      <c r="M13" s="109" t="s">
        <v>155</v>
      </c>
      <c r="N13" s="105" t="s">
        <v>156</v>
      </c>
      <c r="O13" s="111"/>
      <c r="P13" s="111"/>
      <c r="Q13" s="109" t="s">
        <v>155</v>
      </c>
      <c r="R13" s="105" t="s">
        <v>156</v>
      </c>
    </row>
    <row r="14" spans="1:102" s="42" customFormat="1" ht="45.75" customHeight="1">
      <c r="A14" s="106"/>
      <c r="B14" s="116"/>
      <c r="C14" s="111" t="s">
        <v>112</v>
      </c>
      <c r="D14" s="111" t="s">
        <v>112</v>
      </c>
      <c r="E14" s="109"/>
      <c r="F14" s="105"/>
      <c r="G14" s="109"/>
      <c r="H14" s="105"/>
      <c r="I14" s="111" t="s">
        <v>112</v>
      </c>
      <c r="J14" s="111" t="s">
        <v>112</v>
      </c>
      <c r="K14" s="109"/>
      <c r="L14" s="105"/>
      <c r="M14" s="109"/>
      <c r="N14" s="105"/>
      <c r="O14" s="111" t="s">
        <v>112</v>
      </c>
      <c r="P14" s="111" t="s">
        <v>112</v>
      </c>
      <c r="Q14" s="109"/>
      <c r="R14" s="10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1:18" ht="14.25" customHeight="1">
      <c r="A15" s="28">
        <v>1</v>
      </c>
      <c r="B15" s="31" t="s">
        <v>3</v>
      </c>
      <c r="C15" s="27">
        <v>182.535</v>
      </c>
      <c r="D15" s="76">
        <f>C15*0.05883</f>
        <v>10.74</v>
      </c>
      <c r="E15" s="27">
        <v>48.63</v>
      </c>
      <c r="F15" s="27">
        <v>743.34</v>
      </c>
      <c r="G15" s="27">
        <f>C15*E15/1000</f>
        <v>8.88</v>
      </c>
      <c r="H15" s="27">
        <f>D15*F15/1000</f>
        <v>7.98</v>
      </c>
      <c r="I15" s="27">
        <v>182.535</v>
      </c>
      <c r="J15" s="76">
        <f>I15*0.05883</f>
        <v>10.74</v>
      </c>
      <c r="K15" s="27">
        <v>51.25</v>
      </c>
      <c r="L15" s="27">
        <v>775.25</v>
      </c>
      <c r="M15" s="27">
        <f>I15*K15/1000</f>
        <v>9.35</v>
      </c>
      <c r="N15" s="27">
        <f>J15*L15/1000</f>
        <v>8.33</v>
      </c>
      <c r="O15" s="27">
        <f>C15+I15</f>
        <v>365.07</v>
      </c>
      <c r="P15" s="27">
        <f>D15+J15</f>
        <v>21.48</v>
      </c>
      <c r="Q15" s="27">
        <f aca="true" t="shared" si="0" ref="Q15:R18">G15+M15</f>
        <v>18.23</v>
      </c>
      <c r="R15" s="27">
        <f t="shared" si="0"/>
        <v>16.31</v>
      </c>
    </row>
    <row r="16" spans="1:18" ht="26.25" customHeight="1">
      <c r="A16" s="28">
        <v>2</v>
      </c>
      <c r="B16" s="31" t="s">
        <v>60</v>
      </c>
      <c r="C16" s="27">
        <v>15.515</v>
      </c>
      <c r="D16" s="76">
        <f>C16*0.05883</f>
        <v>0.91</v>
      </c>
      <c r="E16" s="27">
        <v>48.63</v>
      </c>
      <c r="F16" s="27">
        <v>743.34</v>
      </c>
      <c r="G16" s="27">
        <f>C16*E16/1000</f>
        <v>0.75</v>
      </c>
      <c r="H16" s="27">
        <f>D16*F16/1000</f>
        <v>0.68</v>
      </c>
      <c r="I16" s="27">
        <v>15.515</v>
      </c>
      <c r="J16" s="76">
        <f>I16*0.05883</f>
        <v>0.91</v>
      </c>
      <c r="K16" s="27">
        <v>51.25</v>
      </c>
      <c r="L16" s="27">
        <v>775.25</v>
      </c>
      <c r="M16" s="27">
        <f>I16*K16/1000</f>
        <v>0.8</v>
      </c>
      <c r="N16" s="27">
        <f>J16*L16/1000</f>
        <v>0.71</v>
      </c>
      <c r="O16" s="27">
        <f aca="true" t="shared" si="1" ref="O16:O69">C16+I16</f>
        <v>31.03</v>
      </c>
      <c r="P16" s="27">
        <f aca="true" t="shared" si="2" ref="P16:P69">D16+J16</f>
        <v>1.82</v>
      </c>
      <c r="Q16" s="27">
        <f t="shared" si="0"/>
        <v>1.55</v>
      </c>
      <c r="R16" s="27">
        <f t="shared" si="0"/>
        <v>1.39</v>
      </c>
    </row>
    <row r="17" spans="1:18" ht="25.5" customHeight="1">
      <c r="A17" s="28">
        <v>3</v>
      </c>
      <c r="B17" s="31" t="s">
        <v>54</v>
      </c>
      <c r="C17" s="70">
        <f>SUM(C18:C40)</f>
        <v>17271</v>
      </c>
      <c r="D17" s="70">
        <f>SUM(D18:D40)</f>
        <v>1016.07</v>
      </c>
      <c r="E17" s="27">
        <v>48.63</v>
      </c>
      <c r="F17" s="27">
        <v>743.34</v>
      </c>
      <c r="G17" s="70">
        <f>SUM(G18:G40)</f>
        <v>839.88</v>
      </c>
      <c r="H17" s="70">
        <f>SUM(H18:H40)</f>
        <v>755.28</v>
      </c>
      <c r="I17" s="70">
        <f>SUM(I18:I40)</f>
        <v>23581.67</v>
      </c>
      <c r="J17" s="70">
        <f>SUM(J18:J40)</f>
        <v>1387.33</v>
      </c>
      <c r="K17" s="27">
        <v>51.25</v>
      </c>
      <c r="L17" s="27">
        <v>775.25</v>
      </c>
      <c r="M17" s="70">
        <f>SUM(M18:M40)</f>
        <v>1208.6</v>
      </c>
      <c r="N17" s="70">
        <f>SUM(N18:N40)</f>
        <v>1075.53</v>
      </c>
      <c r="O17" s="27">
        <f t="shared" si="1"/>
        <v>40852.67</v>
      </c>
      <c r="P17" s="27">
        <f t="shared" si="2"/>
        <v>2403.4</v>
      </c>
      <c r="Q17" s="27">
        <f t="shared" si="0"/>
        <v>2048.48</v>
      </c>
      <c r="R17" s="27">
        <f t="shared" si="0"/>
        <v>1830.81</v>
      </c>
    </row>
    <row r="18" spans="1:18" ht="14.25" customHeight="1" hidden="1">
      <c r="A18" s="28"/>
      <c r="B18" s="31" t="s">
        <v>29</v>
      </c>
      <c r="C18" s="27">
        <v>182</v>
      </c>
      <c r="D18" s="76">
        <f>C18*0.05883</f>
        <v>10.71</v>
      </c>
      <c r="E18" s="27">
        <v>48.63</v>
      </c>
      <c r="F18" s="27">
        <v>743.34</v>
      </c>
      <c r="G18" s="27">
        <f>C18*E18/1000</f>
        <v>8.85</v>
      </c>
      <c r="H18" s="27">
        <f>D18*F18/1000</f>
        <v>7.96</v>
      </c>
      <c r="I18" s="27">
        <v>417.67</v>
      </c>
      <c r="J18" s="76">
        <f aca="true" t="shared" si="3" ref="J18:J38">I18*0.05883</f>
        <v>24.57</v>
      </c>
      <c r="K18" s="27">
        <v>51.25</v>
      </c>
      <c r="L18" s="27">
        <v>775.25</v>
      </c>
      <c r="M18" s="27">
        <f>I18*K18/1000</f>
        <v>21.41</v>
      </c>
      <c r="N18" s="27">
        <f>J18*L18/1000</f>
        <v>19.05</v>
      </c>
      <c r="O18" s="27">
        <f t="shared" si="1"/>
        <v>599.67</v>
      </c>
      <c r="P18" s="27">
        <f t="shared" si="2"/>
        <v>35.28</v>
      </c>
      <c r="Q18" s="27">
        <f t="shared" si="0"/>
        <v>30.26</v>
      </c>
      <c r="R18" s="27">
        <f t="shared" si="0"/>
        <v>27.01</v>
      </c>
    </row>
    <row r="19" spans="1:18" ht="14.25" customHeight="1" hidden="1">
      <c r="A19" s="28"/>
      <c r="B19" s="31" t="s">
        <v>72</v>
      </c>
      <c r="C19" s="27">
        <v>490</v>
      </c>
      <c r="D19" s="76">
        <f aca="true" t="shared" si="4" ref="D19:D40">C19*0.05883</f>
        <v>28.83</v>
      </c>
      <c r="E19" s="27">
        <v>48.63</v>
      </c>
      <c r="F19" s="27">
        <v>743.34</v>
      </c>
      <c r="G19" s="27">
        <f aca="true" t="shared" si="5" ref="G19:G40">C19*E19/1000</f>
        <v>23.83</v>
      </c>
      <c r="H19" s="27">
        <f aca="true" t="shared" si="6" ref="H19:H40">D19*F19/1000</f>
        <v>21.43</v>
      </c>
      <c r="I19" s="27">
        <v>773</v>
      </c>
      <c r="J19" s="76">
        <f t="shared" si="3"/>
        <v>45.48</v>
      </c>
      <c r="K19" s="27">
        <v>51.25</v>
      </c>
      <c r="L19" s="27">
        <v>775.25</v>
      </c>
      <c r="M19" s="27">
        <f aca="true" t="shared" si="7" ref="M19:M40">I19*K19/1000</f>
        <v>39.62</v>
      </c>
      <c r="N19" s="27">
        <f aca="true" t="shared" si="8" ref="N19:N40">J19*L19/1000</f>
        <v>35.26</v>
      </c>
      <c r="O19" s="27">
        <f t="shared" si="1"/>
        <v>1263</v>
      </c>
      <c r="P19" s="27">
        <f t="shared" si="2"/>
        <v>74.31</v>
      </c>
      <c r="Q19" s="27">
        <f aca="true" t="shared" si="9" ref="Q19:Q40">G19+M19</f>
        <v>63.45</v>
      </c>
      <c r="R19" s="27">
        <f aca="true" t="shared" si="10" ref="R19:R40">H19+N19</f>
        <v>56.69</v>
      </c>
    </row>
    <row r="20" spans="1:18" ht="14.25" customHeight="1" hidden="1">
      <c r="A20" s="28"/>
      <c r="B20" s="31" t="s">
        <v>73</v>
      </c>
      <c r="C20" s="27">
        <v>1100</v>
      </c>
      <c r="D20" s="76">
        <f t="shared" si="4"/>
        <v>64.71</v>
      </c>
      <c r="E20" s="27">
        <v>48.63</v>
      </c>
      <c r="F20" s="27">
        <v>743.34</v>
      </c>
      <c r="G20" s="27">
        <f t="shared" si="5"/>
        <v>53.49</v>
      </c>
      <c r="H20" s="27">
        <f t="shared" si="6"/>
        <v>48.1</v>
      </c>
      <c r="I20" s="27">
        <v>1136</v>
      </c>
      <c r="J20" s="76">
        <f t="shared" si="3"/>
        <v>66.83</v>
      </c>
      <c r="K20" s="27">
        <v>51.25</v>
      </c>
      <c r="L20" s="27">
        <v>775.25</v>
      </c>
      <c r="M20" s="27">
        <f t="shared" si="7"/>
        <v>58.22</v>
      </c>
      <c r="N20" s="27">
        <f t="shared" si="8"/>
        <v>51.81</v>
      </c>
      <c r="O20" s="27">
        <f t="shared" si="1"/>
        <v>2236</v>
      </c>
      <c r="P20" s="27">
        <f t="shared" si="2"/>
        <v>131.54</v>
      </c>
      <c r="Q20" s="27">
        <f t="shared" si="9"/>
        <v>111.71</v>
      </c>
      <c r="R20" s="27">
        <f t="shared" si="10"/>
        <v>99.91</v>
      </c>
    </row>
    <row r="21" spans="1:18" ht="14.25" customHeight="1" hidden="1">
      <c r="A21" s="28"/>
      <c r="B21" s="31" t="s">
        <v>74</v>
      </c>
      <c r="C21" s="27">
        <v>851</v>
      </c>
      <c r="D21" s="76">
        <f t="shared" si="4"/>
        <v>50.06</v>
      </c>
      <c r="E21" s="27">
        <v>48.63</v>
      </c>
      <c r="F21" s="27">
        <v>743.34</v>
      </c>
      <c r="G21" s="27">
        <f t="shared" si="5"/>
        <v>41.38</v>
      </c>
      <c r="H21" s="27">
        <f t="shared" si="6"/>
        <v>37.21</v>
      </c>
      <c r="I21" s="27">
        <v>889</v>
      </c>
      <c r="J21" s="76">
        <f t="shared" si="3"/>
        <v>52.3</v>
      </c>
      <c r="K21" s="27">
        <v>51.25</v>
      </c>
      <c r="L21" s="27">
        <v>775.25</v>
      </c>
      <c r="M21" s="27">
        <f t="shared" si="7"/>
        <v>45.56</v>
      </c>
      <c r="N21" s="27">
        <f t="shared" si="8"/>
        <v>40.55</v>
      </c>
      <c r="O21" s="27">
        <f t="shared" si="1"/>
        <v>1740</v>
      </c>
      <c r="P21" s="27">
        <f t="shared" si="2"/>
        <v>102.36</v>
      </c>
      <c r="Q21" s="27">
        <f t="shared" si="9"/>
        <v>86.94</v>
      </c>
      <c r="R21" s="27">
        <f t="shared" si="10"/>
        <v>77.76</v>
      </c>
    </row>
    <row r="22" spans="1:18" ht="14.25" customHeight="1" hidden="1">
      <c r="A22" s="28"/>
      <c r="B22" s="31" t="s">
        <v>75</v>
      </c>
      <c r="C22" s="27">
        <v>457</v>
      </c>
      <c r="D22" s="76">
        <f t="shared" si="4"/>
        <v>26.89</v>
      </c>
      <c r="E22" s="27">
        <v>48.63</v>
      </c>
      <c r="F22" s="27">
        <v>743.34</v>
      </c>
      <c r="G22" s="27">
        <f t="shared" si="5"/>
        <v>22.22</v>
      </c>
      <c r="H22" s="27">
        <f t="shared" si="6"/>
        <v>19.99</v>
      </c>
      <c r="I22" s="27">
        <v>1029</v>
      </c>
      <c r="J22" s="76">
        <f t="shared" si="3"/>
        <v>60.54</v>
      </c>
      <c r="K22" s="27">
        <v>51.25</v>
      </c>
      <c r="L22" s="27">
        <v>775.25</v>
      </c>
      <c r="M22" s="27">
        <f t="shared" si="7"/>
        <v>52.74</v>
      </c>
      <c r="N22" s="27">
        <f t="shared" si="8"/>
        <v>46.93</v>
      </c>
      <c r="O22" s="27">
        <f t="shared" si="1"/>
        <v>1486</v>
      </c>
      <c r="P22" s="27">
        <f>D22+J22</f>
        <v>87.43</v>
      </c>
      <c r="Q22" s="27">
        <f t="shared" si="9"/>
        <v>74.96</v>
      </c>
      <c r="R22" s="27">
        <f t="shared" si="10"/>
        <v>66.92</v>
      </c>
    </row>
    <row r="23" spans="1:18" ht="14.25" customHeight="1" hidden="1">
      <c r="A23" s="28"/>
      <c r="B23" s="31" t="s">
        <v>76</v>
      </c>
      <c r="C23" s="27">
        <v>530</v>
      </c>
      <c r="D23" s="76">
        <f t="shared" si="4"/>
        <v>31.18</v>
      </c>
      <c r="E23" s="27">
        <v>48.63</v>
      </c>
      <c r="F23" s="27">
        <v>743.34</v>
      </c>
      <c r="G23" s="27">
        <f t="shared" si="5"/>
        <v>25.77</v>
      </c>
      <c r="H23" s="27">
        <f t="shared" si="6"/>
        <v>23.18</v>
      </c>
      <c r="I23" s="27">
        <v>1036</v>
      </c>
      <c r="J23" s="76">
        <f t="shared" si="3"/>
        <v>60.95</v>
      </c>
      <c r="K23" s="27">
        <v>51.25</v>
      </c>
      <c r="L23" s="27">
        <v>775.25</v>
      </c>
      <c r="M23" s="27">
        <f t="shared" si="7"/>
        <v>53.1</v>
      </c>
      <c r="N23" s="27">
        <f t="shared" si="8"/>
        <v>47.25</v>
      </c>
      <c r="O23" s="27">
        <f t="shared" si="1"/>
        <v>1566</v>
      </c>
      <c r="P23" s="27">
        <f>D22+J23</f>
        <v>87.84</v>
      </c>
      <c r="Q23" s="27">
        <f t="shared" si="9"/>
        <v>78.87</v>
      </c>
      <c r="R23" s="27">
        <f t="shared" si="10"/>
        <v>70.43</v>
      </c>
    </row>
    <row r="24" spans="1:18" ht="14.25" customHeight="1" hidden="1">
      <c r="A24" s="28"/>
      <c r="B24" s="31" t="s">
        <v>77</v>
      </c>
      <c r="C24" s="27">
        <v>434</v>
      </c>
      <c r="D24" s="76">
        <f t="shared" si="4"/>
        <v>25.53</v>
      </c>
      <c r="E24" s="27">
        <v>48.63</v>
      </c>
      <c r="F24" s="27">
        <v>743.34</v>
      </c>
      <c r="G24" s="27">
        <f t="shared" si="5"/>
        <v>21.11</v>
      </c>
      <c r="H24" s="27">
        <f t="shared" si="6"/>
        <v>18.98</v>
      </c>
      <c r="I24" s="27">
        <v>736</v>
      </c>
      <c r="J24" s="76">
        <f t="shared" si="3"/>
        <v>43.3</v>
      </c>
      <c r="K24" s="27">
        <v>51.25</v>
      </c>
      <c r="L24" s="27">
        <v>775.25</v>
      </c>
      <c r="M24" s="27">
        <f t="shared" si="7"/>
        <v>37.72</v>
      </c>
      <c r="N24" s="27">
        <f t="shared" si="8"/>
        <v>33.57</v>
      </c>
      <c r="O24" s="27">
        <f t="shared" si="1"/>
        <v>1170</v>
      </c>
      <c r="P24" s="27">
        <f>D23+J24</f>
        <v>74.48</v>
      </c>
      <c r="Q24" s="27">
        <f t="shared" si="9"/>
        <v>58.83</v>
      </c>
      <c r="R24" s="27">
        <f t="shared" si="10"/>
        <v>52.55</v>
      </c>
    </row>
    <row r="25" spans="1:18" ht="14.25" customHeight="1" hidden="1">
      <c r="A25" s="28"/>
      <c r="B25" s="31" t="s">
        <v>78</v>
      </c>
      <c r="C25" s="27">
        <v>1020</v>
      </c>
      <c r="D25" s="76">
        <f t="shared" si="4"/>
        <v>60.01</v>
      </c>
      <c r="E25" s="27">
        <v>48.63</v>
      </c>
      <c r="F25" s="27">
        <v>743.34</v>
      </c>
      <c r="G25" s="27">
        <f t="shared" si="5"/>
        <v>49.6</v>
      </c>
      <c r="H25" s="27">
        <f t="shared" si="6"/>
        <v>44.61</v>
      </c>
      <c r="I25" s="27">
        <v>1516</v>
      </c>
      <c r="J25" s="76">
        <f t="shared" si="3"/>
        <v>89.19</v>
      </c>
      <c r="K25" s="27">
        <v>51.25</v>
      </c>
      <c r="L25" s="27">
        <v>775.25</v>
      </c>
      <c r="M25" s="27">
        <f t="shared" si="7"/>
        <v>77.7</v>
      </c>
      <c r="N25" s="27">
        <f t="shared" si="8"/>
        <v>69.14</v>
      </c>
      <c r="O25" s="27">
        <f t="shared" si="1"/>
        <v>2536</v>
      </c>
      <c r="P25" s="27">
        <f>D24+J25</f>
        <v>114.72</v>
      </c>
      <c r="Q25" s="27">
        <f t="shared" si="9"/>
        <v>127.3</v>
      </c>
      <c r="R25" s="27">
        <f t="shared" si="10"/>
        <v>113.75</v>
      </c>
    </row>
    <row r="26" spans="1:18" ht="14.25" customHeight="1" hidden="1">
      <c r="A26" s="28"/>
      <c r="B26" s="31" t="s">
        <v>79</v>
      </c>
      <c r="C26" s="27">
        <v>780</v>
      </c>
      <c r="D26" s="76">
        <f t="shared" si="4"/>
        <v>45.89</v>
      </c>
      <c r="E26" s="27">
        <v>48.63</v>
      </c>
      <c r="F26" s="27">
        <v>743.34</v>
      </c>
      <c r="G26" s="27">
        <f t="shared" si="5"/>
        <v>37.93</v>
      </c>
      <c r="H26" s="27">
        <f t="shared" si="6"/>
        <v>34.11</v>
      </c>
      <c r="I26" s="27">
        <v>1036</v>
      </c>
      <c r="J26" s="76">
        <f t="shared" si="3"/>
        <v>60.95</v>
      </c>
      <c r="K26" s="27">
        <v>51.25</v>
      </c>
      <c r="L26" s="27">
        <v>775.25</v>
      </c>
      <c r="M26" s="27">
        <f t="shared" si="7"/>
        <v>53.1</v>
      </c>
      <c r="N26" s="27">
        <f t="shared" si="8"/>
        <v>47.25</v>
      </c>
      <c r="O26" s="27">
        <f t="shared" si="1"/>
        <v>1816</v>
      </c>
      <c r="P26" s="27">
        <f t="shared" si="2"/>
        <v>106.84</v>
      </c>
      <c r="Q26" s="27">
        <f t="shared" si="9"/>
        <v>91.03</v>
      </c>
      <c r="R26" s="27">
        <f t="shared" si="10"/>
        <v>81.36</v>
      </c>
    </row>
    <row r="27" spans="1:18" ht="14.25" customHeight="1" hidden="1">
      <c r="A27" s="28"/>
      <c r="B27" s="31" t="s">
        <v>80</v>
      </c>
      <c r="C27" s="27">
        <v>225</v>
      </c>
      <c r="D27" s="76">
        <f t="shared" si="4"/>
        <v>13.24</v>
      </c>
      <c r="E27" s="27">
        <v>48.63</v>
      </c>
      <c r="F27" s="27">
        <v>743.34</v>
      </c>
      <c r="G27" s="27">
        <f t="shared" si="5"/>
        <v>10.94</v>
      </c>
      <c r="H27" s="27">
        <f t="shared" si="6"/>
        <v>9.84</v>
      </c>
      <c r="I27" s="27">
        <v>295</v>
      </c>
      <c r="J27" s="76">
        <f t="shared" si="3"/>
        <v>17.35</v>
      </c>
      <c r="K27" s="27">
        <v>51.25</v>
      </c>
      <c r="L27" s="27">
        <v>775.25</v>
      </c>
      <c r="M27" s="27">
        <f t="shared" si="7"/>
        <v>15.12</v>
      </c>
      <c r="N27" s="27">
        <f t="shared" si="8"/>
        <v>13.45</v>
      </c>
      <c r="O27" s="27">
        <f t="shared" si="1"/>
        <v>520</v>
      </c>
      <c r="P27" s="27">
        <f t="shared" si="2"/>
        <v>30.59</v>
      </c>
      <c r="Q27" s="27">
        <f t="shared" si="9"/>
        <v>26.06</v>
      </c>
      <c r="R27" s="27">
        <f t="shared" si="10"/>
        <v>23.29</v>
      </c>
    </row>
    <row r="28" spans="1:18" ht="14.25" customHeight="1" hidden="1">
      <c r="A28" s="28"/>
      <c r="B28" s="31" t="s">
        <v>81</v>
      </c>
      <c r="C28" s="27">
        <v>1200</v>
      </c>
      <c r="D28" s="76">
        <f t="shared" si="4"/>
        <v>70.6</v>
      </c>
      <c r="E28" s="27">
        <v>48.63</v>
      </c>
      <c r="F28" s="27">
        <v>743.34</v>
      </c>
      <c r="G28" s="27">
        <f t="shared" si="5"/>
        <v>58.36</v>
      </c>
      <c r="H28" s="27">
        <f t="shared" si="6"/>
        <v>52.48</v>
      </c>
      <c r="I28" s="27">
        <v>1666</v>
      </c>
      <c r="J28" s="76">
        <f t="shared" si="3"/>
        <v>98.01</v>
      </c>
      <c r="K28" s="27">
        <v>51.25</v>
      </c>
      <c r="L28" s="27">
        <v>775.25</v>
      </c>
      <c r="M28" s="27">
        <f t="shared" si="7"/>
        <v>85.38</v>
      </c>
      <c r="N28" s="27">
        <f t="shared" si="8"/>
        <v>75.98</v>
      </c>
      <c r="O28" s="27">
        <f t="shared" si="1"/>
        <v>2866</v>
      </c>
      <c r="P28" s="27">
        <f t="shared" si="2"/>
        <v>168.61</v>
      </c>
      <c r="Q28" s="27">
        <f t="shared" si="9"/>
        <v>143.74</v>
      </c>
      <c r="R28" s="27">
        <f t="shared" si="10"/>
        <v>128.46</v>
      </c>
    </row>
    <row r="29" spans="1:18" ht="14.25" customHeight="1" hidden="1">
      <c r="A29" s="28"/>
      <c r="B29" s="31" t="s">
        <v>82</v>
      </c>
      <c r="C29" s="27">
        <v>736</v>
      </c>
      <c r="D29" s="76">
        <f t="shared" si="4"/>
        <v>43.3</v>
      </c>
      <c r="E29" s="27">
        <v>48.63</v>
      </c>
      <c r="F29" s="27">
        <v>743.34</v>
      </c>
      <c r="G29" s="27">
        <f t="shared" si="5"/>
        <v>35.79</v>
      </c>
      <c r="H29" s="27">
        <f t="shared" si="6"/>
        <v>32.19</v>
      </c>
      <c r="I29" s="27">
        <v>1100</v>
      </c>
      <c r="J29" s="76">
        <f t="shared" si="3"/>
        <v>64.71</v>
      </c>
      <c r="K29" s="27">
        <v>51.25</v>
      </c>
      <c r="L29" s="27">
        <v>775.25</v>
      </c>
      <c r="M29" s="27">
        <f t="shared" si="7"/>
        <v>56.38</v>
      </c>
      <c r="N29" s="27">
        <f t="shared" si="8"/>
        <v>50.17</v>
      </c>
      <c r="O29" s="27">
        <f t="shared" si="1"/>
        <v>1836</v>
      </c>
      <c r="P29" s="27">
        <f t="shared" si="2"/>
        <v>108.01</v>
      </c>
      <c r="Q29" s="27">
        <f t="shared" si="9"/>
        <v>92.17</v>
      </c>
      <c r="R29" s="27">
        <f t="shared" si="10"/>
        <v>82.36</v>
      </c>
    </row>
    <row r="30" spans="1:18" ht="14.25" customHeight="1" hidden="1">
      <c r="A30" s="28"/>
      <c r="B30" s="31" t="s">
        <v>83</v>
      </c>
      <c r="C30" s="27">
        <v>1600</v>
      </c>
      <c r="D30" s="76">
        <f t="shared" si="4"/>
        <v>94.13</v>
      </c>
      <c r="E30" s="27">
        <v>48.63</v>
      </c>
      <c r="F30" s="27">
        <v>743.34</v>
      </c>
      <c r="G30" s="27">
        <f t="shared" si="5"/>
        <v>77.81</v>
      </c>
      <c r="H30" s="27">
        <f t="shared" si="6"/>
        <v>69.97</v>
      </c>
      <c r="I30" s="27">
        <v>1822</v>
      </c>
      <c r="J30" s="76">
        <f t="shared" si="3"/>
        <v>107.19</v>
      </c>
      <c r="K30" s="27">
        <v>51.25</v>
      </c>
      <c r="L30" s="27">
        <v>775.25</v>
      </c>
      <c r="M30" s="27">
        <f t="shared" si="7"/>
        <v>93.38</v>
      </c>
      <c r="N30" s="27">
        <f t="shared" si="8"/>
        <v>83.1</v>
      </c>
      <c r="O30" s="27">
        <f t="shared" si="1"/>
        <v>3422</v>
      </c>
      <c r="P30" s="27">
        <f t="shared" si="2"/>
        <v>201.32</v>
      </c>
      <c r="Q30" s="27">
        <f t="shared" si="9"/>
        <v>171.19</v>
      </c>
      <c r="R30" s="27">
        <f t="shared" si="10"/>
        <v>153.07</v>
      </c>
    </row>
    <row r="31" spans="1:18" ht="14.25" customHeight="1" hidden="1">
      <c r="A31" s="28"/>
      <c r="B31" s="31" t="s">
        <v>84</v>
      </c>
      <c r="C31" s="27">
        <v>880</v>
      </c>
      <c r="D31" s="76">
        <f t="shared" si="4"/>
        <v>51.77</v>
      </c>
      <c r="E31" s="27">
        <v>48.63</v>
      </c>
      <c r="F31" s="27">
        <v>743.34</v>
      </c>
      <c r="G31" s="27">
        <f t="shared" si="5"/>
        <v>42.79</v>
      </c>
      <c r="H31" s="27">
        <f t="shared" si="6"/>
        <v>38.48</v>
      </c>
      <c r="I31" s="27">
        <v>1422</v>
      </c>
      <c r="J31" s="76">
        <f t="shared" si="3"/>
        <v>83.66</v>
      </c>
      <c r="K31" s="27">
        <v>51.25</v>
      </c>
      <c r="L31" s="27">
        <v>775.25</v>
      </c>
      <c r="M31" s="27">
        <f t="shared" si="7"/>
        <v>72.88</v>
      </c>
      <c r="N31" s="27">
        <f t="shared" si="8"/>
        <v>64.86</v>
      </c>
      <c r="O31" s="27">
        <f t="shared" si="1"/>
        <v>2302</v>
      </c>
      <c r="P31" s="27">
        <f t="shared" si="2"/>
        <v>135.43</v>
      </c>
      <c r="Q31" s="27">
        <f t="shared" si="9"/>
        <v>115.67</v>
      </c>
      <c r="R31" s="27">
        <f t="shared" si="10"/>
        <v>103.34</v>
      </c>
    </row>
    <row r="32" spans="1:18" ht="14.25" customHeight="1" hidden="1">
      <c r="A32" s="28"/>
      <c r="B32" s="31" t="s">
        <v>85</v>
      </c>
      <c r="C32" s="27">
        <v>1365</v>
      </c>
      <c r="D32" s="76">
        <f t="shared" si="4"/>
        <v>80.3</v>
      </c>
      <c r="E32" s="27">
        <v>48.63</v>
      </c>
      <c r="F32" s="27">
        <v>743.34</v>
      </c>
      <c r="G32" s="27">
        <f t="shared" si="5"/>
        <v>66.38</v>
      </c>
      <c r="H32" s="27">
        <f t="shared" si="6"/>
        <v>59.69</v>
      </c>
      <c r="I32" s="27">
        <v>1807</v>
      </c>
      <c r="J32" s="76">
        <f t="shared" si="3"/>
        <v>106.31</v>
      </c>
      <c r="K32" s="27">
        <v>51.25</v>
      </c>
      <c r="L32" s="27">
        <v>775.25</v>
      </c>
      <c r="M32" s="27">
        <f t="shared" si="7"/>
        <v>92.61</v>
      </c>
      <c r="N32" s="27">
        <f t="shared" si="8"/>
        <v>82.42</v>
      </c>
      <c r="O32" s="27">
        <f t="shared" si="1"/>
        <v>3172</v>
      </c>
      <c r="P32" s="27">
        <f t="shared" si="2"/>
        <v>186.61</v>
      </c>
      <c r="Q32" s="27">
        <f t="shared" si="9"/>
        <v>158.99</v>
      </c>
      <c r="R32" s="27">
        <f t="shared" si="10"/>
        <v>142.11</v>
      </c>
    </row>
    <row r="33" spans="1:18" ht="14.25" customHeight="1" hidden="1">
      <c r="A33" s="28"/>
      <c r="B33" s="31" t="s">
        <v>86</v>
      </c>
      <c r="C33" s="27">
        <v>126</v>
      </c>
      <c r="D33" s="76">
        <f t="shared" si="4"/>
        <v>7.41</v>
      </c>
      <c r="E33" s="27">
        <v>48.63</v>
      </c>
      <c r="F33" s="27">
        <v>743.34</v>
      </c>
      <c r="G33" s="27">
        <f t="shared" si="5"/>
        <v>6.13</v>
      </c>
      <c r="H33" s="27">
        <f t="shared" si="6"/>
        <v>5.51</v>
      </c>
      <c r="I33" s="27">
        <v>200</v>
      </c>
      <c r="J33" s="76">
        <f t="shared" si="3"/>
        <v>11.77</v>
      </c>
      <c r="K33" s="27">
        <v>51.25</v>
      </c>
      <c r="L33" s="27">
        <v>775.25</v>
      </c>
      <c r="M33" s="27">
        <f t="shared" si="7"/>
        <v>10.25</v>
      </c>
      <c r="N33" s="27">
        <f t="shared" si="8"/>
        <v>9.12</v>
      </c>
      <c r="O33" s="27">
        <f t="shared" si="1"/>
        <v>326</v>
      </c>
      <c r="P33" s="27">
        <f t="shared" si="2"/>
        <v>19.18</v>
      </c>
      <c r="Q33" s="27">
        <f t="shared" si="9"/>
        <v>16.38</v>
      </c>
      <c r="R33" s="27">
        <f t="shared" si="10"/>
        <v>14.63</v>
      </c>
    </row>
    <row r="34" spans="1:18" ht="14.25" customHeight="1" hidden="1">
      <c r="A34" s="28"/>
      <c r="B34" s="31" t="s">
        <v>87</v>
      </c>
      <c r="C34" s="27">
        <v>170</v>
      </c>
      <c r="D34" s="76">
        <f t="shared" si="4"/>
        <v>10</v>
      </c>
      <c r="E34" s="27">
        <v>48.63</v>
      </c>
      <c r="F34" s="27">
        <v>743.34</v>
      </c>
      <c r="G34" s="27">
        <f t="shared" si="5"/>
        <v>8.27</v>
      </c>
      <c r="H34" s="27">
        <f t="shared" si="6"/>
        <v>7.43</v>
      </c>
      <c r="I34" s="27">
        <v>280</v>
      </c>
      <c r="J34" s="76">
        <f t="shared" si="3"/>
        <v>16.47</v>
      </c>
      <c r="K34" s="27">
        <v>51.25</v>
      </c>
      <c r="L34" s="27">
        <v>775.25</v>
      </c>
      <c r="M34" s="27">
        <f t="shared" si="7"/>
        <v>14.35</v>
      </c>
      <c r="N34" s="27">
        <f t="shared" si="8"/>
        <v>12.77</v>
      </c>
      <c r="O34" s="27">
        <f t="shared" si="1"/>
        <v>450</v>
      </c>
      <c r="P34" s="27">
        <f t="shared" si="2"/>
        <v>26.47</v>
      </c>
      <c r="Q34" s="27">
        <f t="shared" si="9"/>
        <v>22.62</v>
      </c>
      <c r="R34" s="27">
        <f t="shared" si="10"/>
        <v>20.2</v>
      </c>
    </row>
    <row r="35" spans="1:18" ht="14.25" customHeight="1" hidden="1">
      <c r="A35" s="28"/>
      <c r="B35" s="31" t="s">
        <v>88</v>
      </c>
      <c r="C35" s="27">
        <v>625</v>
      </c>
      <c r="D35" s="76">
        <f t="shared" si="4"/>
        <v>36.77</v>
      </c>
      <c r="E35" s="27">
        <v>48.63</v>
      </c>
      <c r="F35" s="27">
        <v>743.34</v>
      </c>
      <c r="G35" s="27">
        <f t="shared" si="5"/>
        <v>30.39</v>
      </c>
      <c r="H35" s="27">
        <f t="shared" si="6"/>
        <v>27.33</v>
      </c>
      <c r="I35" s="27">
        <v>841</v>
      </c>
      <c r="J35" s="76">
        <f t="shared" si="3"/>
        <v>49.48</v>
      </c>
      <c r="K35" s="27">
        <v>51.25</v>
      </c>
      <c r="L35" s="27">
        <v>775.25</v>
      </c>
      <c r="M35" s="27">
        <f t="shared" si="7"/>
        <v>43.1</v>
      </c>
      <c r="N35" s="27">
        <f t="shared" si="8"/>
        <v>38.36</v>
      </c>
      <c r="O35" s="27">
        <f t="shared" si="1"/>
        <v>1466</v>
      </c>
      <c r="P35" s="27">
        <f t="shared" si="2"/>
        <v>86.25</v>
      </c>
      <c r="Q35" s="27">
        <f t="shared" si="9"/>
        <v>73.49</v>
      </c>
      <c r="R35" s="27">
        <f t="shared" si="10"/>
        <v>65.69</v>
      </c>
    </row>
    <row r="36" spans="1:18" ht="14.25" customHeight="1" hidden="1">
      <c r="A36" s="28"/>
      <c r="B36" s="31" t="s">
        <v>89</v>
      </c>
      <c r="C36" s="27">
        <v>660</v>
      </c>
      <c r="D36" s="76">
        <f t="shared" si="4"/>
        <v>38.83</v>
      </c>
      <c r="E36" s="27">
        <v>48.63</v>
      </c>
      <c r="F36" s="27">
        <v>743.34</v>
      </c>
      <c r="G36" s="27">
        <f t="shared" si="5"/>
        <v>32.1</v>
      </c>
      <c r="H36" s="27">
        <f t="shared" si="6"/>
        <v>28.86</v>
      </c>
      <c r="I36" s="27">
        <v>896</v>
      </c>
      <c r="J36" s="76">
        <f t="shared" si="3"/>
        <v>52.71</v>
      </c>
      <c r="K36" s="27">
        <v>51.25</v>
      </c>
      <c r="L36" s="27">
        <v>775.25</v>
      </c>
      <c r="M36" s="27">
        <f t="shared" si="7"/>
        <v>45.92</v>
      </c>
      <c r="N36" s="27">
        <f t="shared" si="8"/>
        <v>40.86</v>
      </c>
      <c r="O36" s="27">
        <f t="shared" si="1"/>
        <v>1556</v>
      </c>
      <c r="P36" s="27">
        <f t="shared" si="2"/>
        <v>91.54</v>
      </c>
      <c r="Q36" s="27">
        <f t="shared" si="9"/>
        <v>78.02</v>
      </c>
      <c r="R36" s="27">
        <f t="shared" si="10"/>
        <v>69.72</v>
      </c>
    </row>
    <row r="37" spans="1:18" ht="14.25" customHeight="1" hidden="1">
      <c r="A37" s="28"/>
      <c r="B37" s="31" t="s">
        <v>90</v>
      </c>
      <c r="C37" s="27">
        <v>840</v>
      </c>
      <c r="D37" s="76">
        <f t="shared" si="4"/>
        <v>49.42</v>
      </c>
      <c r="E37" s="27">
        <v>48.63</v>
      </c>
      <c r="F37" s="27">
        <v>743.34</v>
      </c>
      <c r="G37" s="27">
        <f t="shared" si="5"/>
        <v>40.85</v>
      </c>
      <c r="H37" s="27">
        <f t="shared" si="6"/>
        <v>36.74</v>
      </c>
      <c r="I37" s="27">
        <v>1126</v>
      </c>
      <c r="J37" s="76">
        <f t="shared" si="3"/>
        <v>66.24</v>
      </c>
      <c r="K37" s="27">
        <v>51.25</v>
      </c>
      <c r="L37" s="27">
        <v>775.25</v>
      </c>
      <c r="M37" s="27">
        <f t="shared" si="7"/>
        <v>57.71</v>
      </c>
      <c r="N37" s="27">
        <f t="shared" si="8"/>
        <v>51.35</v>
      </c>
      <c r="O37" s="27">
        <f t="shared" si="1"/>
        <v>1966</v>
      </c>
      <c r="P37" s="27">
        <f t="shared" si="2"/>
        <v>115.66</v>
      </c>
      <c r="Q37" s="27">
        <f t="shared" si="9"/>
        <v>98.56</v>
      </c>
      <c r="R37" s="27">
        <f t="shared" si="10"/>
        <v>88.09</v>
      </c>
    </row>
    <row r="38" spans="1:18" ht="14.25" customHeight="1" hidden="1">
      <c r="A38" s="28"/>
      <c r="B38" s="31" t="s">
        <v>91</v>
      </c>
      <c r="C38" s="27">
        <v>890</v>
      </c>
      <c r="D38" s="76">
        <f t="shared" si="4"/>
        <v>52.36</v>
      </c>
      <c r="E38" s="27">
        <v>48.63</v>
      </c>
      <c r="F38" s="27">
        <v>743.34</v>
      </c>
      <c r="G38" s="27">
        <f t="shared" si="5"/>
        <v>43.28</v>
      </c>
      <c r="H38" s="27">
        <f t="shared" si="6"/>
        <v>38.92</v>
      </c>
      <c r="I38" s="27">
        <v>1226</v>
      </c>
      <c r="J38" s="76">
        <f t="shared" si="3"/>
        <v>72.13</v>
      </c>
      <c r="K38" s="27">
        <v>51.25</v>
      </c>
      <c r="L38" s="27">
        <v>775.25</v>
      </c>
      <c r="M38" s="27">
        <f t="shared" si="7"/>
        <v>62.83</v>
      </c>
      <c r="N38" s="27">
        <f t="shared" si="8"/>
        <v>55.92</v>
      </c>
      <c r="O38" s="27">
        <f t="shared" si="1"/>
        <v>2116</v>
      </c>
      <c r="P38" s="27">
        <f t="shared" si="2"/>
        <v>124.49</v>
      </c>
      <c r="Q38" s="27">
        <f t="shared" si="9"/>
        <v>106.11</v>
      </c>
      <c r="R38" s="27">
        <f t="shared" si="10"/>
        <v>94.84</v>
      </c>
    </row>
    <row r="39" spans="1:18" ht="14.25" customHeight="1" hidden="1">
      <c r="A39" s="28"/>
      <c r="B39" s="31" t="s">
        <v>53</v>
      </c>
      <c r="C39" s="27">
        <v>1170</v>
      </c>
      <c r="D39" s="76">
        <f t="shared" si="4"/>
        <v>68.83</v>
      </c>
      <c r="E39" s="27">
        <v>48.63</v>
      </c>
      <c r="F39" s="27">
        <v>743.34</v>
      </c>
      <c r="G39" s="27">
        <f t="shared" si="5"/>
        <v>56.9</v>
      </c>
      <c r="H39" s="27">
        <f t="shared" si="6"/>
        <v>51.16</v>
      </c>
      <c r="I39" s="27">
        <v>1086</v>
      </c>
      <c r="J39" s="76">
        <f>I39*0.05883</f>
        <v>63.89</v>
      </c>
      <c r="K39" s="27">
        <v>51.25</v>
      </c>
      <c r="L39" s="27">
        <v>775.25</v>
      </c>
      <c r="M39" s="27">
        <f t="shared" si="7"/>
        <v>55.66</v>
      </c>
      <c r="N39" s="27">
        <f t="shared" si="8"/>
        <v>49.53</v>
      </c>
      <c r="O39" s="27">
        <f t="shared" si="1"/>
        <v>2256</v>
      </c>
      <c r="P39" s="27">
        <f t="shared" si="2"/>
        <v>132.72</v>
      </c>
      <c r="Q39" s="27">
        <f t="shared" si="9"/>
        <v>112.56</v>
      </c>
      <c r="R39" s="27">
        <f t="shared" si="10"/>
        <v>100.69</v>
      </c>
    </row>
    <row r="40" spans="1:18" s="12" customFormat="1" ht="23.25" customHeight="1" hidden="1">
      <c r="A40" s="24"/>
      <c r="B40" s="25" t="s">
        <v>131</v>
      </c>
      <c r="C40" s="26">
        <v>940</v>
      </c>
      <c r="D40" s="76">
        <f t="shared" si="4"/>
        <v>55.3</v>
      </c>
      <c r="E40" s="27">
        <v>48.63</v>
      </c>
      <c r="F40" s="27">
        <v>743.34</v>
      </c>
      <c r="G40" s="27">
        <f t="shared" si="5"/>
        <v>45.71</v>
      </c>
      <c r="H40" s="27">
        <f t="shared" si="6"/>
        <v>41.11</v>
      </c>
      <c r="I40" s="27">
        <v>1246</v>
      </c>
      <c r="J40" s="76">
        <f>I40*0.05883</f>
        <v>73.3</v>
      </c>
      <c r="K40" s="27">
        <v>51.25</v>
      </c>
      <c r="L40" s="27">
        <v>775.25</v>
      </c>
      <c r="M40" s="27">
        <f t="shared" si="7"/>
        <v>63.86</v>
      </c>
      <c r="N40" s="27">
        <f t="shared" si="8"/>
        <v>56.83</v>
      </c>
      <c r="O40" s="27">
        <f t="shared" si="1"/>
        <v>2186</v>
      </c>
      <c r="P40" s="27">
        <f t="shared" si="2"/>
        <v>128.6</v>
      </c>
      <c r="Q40" s="27">
        <f t="shared" si="9"/>
        <v>109.57</v>
      </c>
      <c r="R40" s="27">
        <f t="shared" si="10"/>
        <v>97.94</v>
      </c>
    </row>
    <row r="41" spans="1:18" ht="27" customHeight="1">
      <c r="A41" s="28">
        <v>4</v>
      </c>
      <c r="B41" s="31" t="s">
        <v>124</v>
      </c>
      <c r="C41" s="70">
        <f>SUM(C42:C57)</f>
        <v>1481.6</v>
      </c>
      <c r="D41" s="70">
        <f>SUM(D42:D57)</f>
        <v>87.16</v>
      </c>
      <c r="E41" s="27">
        <v>48.63</v>
      </c>
      <c r="F41" s="27">
        <v>743.34</v>
      </c>
      <c r="G41" s="70">
        <f>SUM(G42:G57)</f>
        <v>72.05</v>
      </c>
      <c r="H41" s="70">
        <f>SUM(H42:H57)</f>
        <v>64.79</v>
      </c>
      <c r="I41" s="70">
        <f>SUM(I42:I57)</f>
        <v>430.14</v>
      </c>
      <c r="J41" s="70">
        <f>SUM(J42:J57)</f>
        <v>25.3</v>
      </c>
      <c r="K41" s="27">
        <v>51.25</v>
      </c>
      <c r="L41" s="27">
        <v>775.25</v>
      </c>
      <c r="M41" s="70">
        <f>SUM(M42:M57)</f>
        <v>22.04</v>
      </c>
      <c r="N41" s="70">
        <f>SUM(N42:N57)</f>
        <v>19.62</v>
      </c>
      <c r="O41" s="27">
        <f t="shared" si="1"/>
        <v>1911.74</v>
      </c>
      <c r="P41" s="27">
        <f t="shared" si="2"/>
        <v>112.46</v>
      </c>
      <c r="Q41" s="27">
        <f>G41+M41</f>
        <v>94.09</v>
      </c>
      <c r="R41" s="27">
        <f>H41+N41</f>
        <v>84.41</v>
      </c>
    </row>
    <row r="42" spans="1:18" ht="12.75" customHeight="1" hidden="1">
      <c r="A42" s="28"/>
      <c r="B42" s="31" t="s">
        <v>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2.75" customHeight="1" hidden="1">
      <c r="A43" s="28"/>
      <c r="B43" s="68" t="s">
        <v>39</v>
      </c>
      <c r="C43" s="70"/>
      <c r="D43" s="70"/>
      <c r="E43" s="27"/>
      <c r="F43" s="27"/>
      <c r="G43" s="27"/>
      <c r="H43" s="70"/>
      <c r="I43" s="70"/>
      <c r="J43" s="70"/>
      <c r="K43" s="27"/>
      <c r="L43" s="27"/>
      <c r="M43" s="27"/>
      <c r="N43" s="70"/>
      <c r="O43" s="27"/>
      <c r="P43" s="27"/>
      <c r="Q43" s="27"/>
      <c r="R43" s="27"/>
    </row>
    <row r="44" spans="1:18" ht="12.75" customHeight="1" hidden="1">
      <c r="A44" s="28"/>
      <c r="B44" s="69" t="s">
        <v>38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2.75" customHeight="1" hidden="1">
      <c r="A45" s="28"/>
      <c r="B45" s="69" t="s">
        <v>40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 customHeight="1" hidden="1">
      <c r="A46" s="28"/>
      <c r="B46" s="31" t="s">
        <v>63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2.75" customHeight="1" hidden="1">
      <c r="A47" s="28"/>
      <c r="B47" s="31" t="s">
        <v>92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2.75" customHeight="1" hidden="1">
      <c r="A48" s="28"/>
      <c r="B48" s="31" t="s">
        <v>93</v>
      </c>
      <c r="C48" s="70"/>
      <c r="D48" s="70"/>
      <c r="E48" s="27"/>
      <c r="F48" s="27"/>
      <c r="G48" s="27"/>
      <c r="H48" s="27"/>
      <c r="I48" s="70"/>
      <c r="J48" s="70"/>
      <c r="K48" s="27"/>
      <c r="L48" s="27"/>
      <c r="M48" s="27"/>
      <c r="N48" s="27"/>
      <c r="O48" s="27"/>
      <c r="P48" s="27"/>
      <c r="Q48" s="27"/>
      <c r="R48" s="27"/>
    </row>
    <row r="49" spans="1:18" ht="12.75" customHeight="1" hidden="1">
      <c r="A49" s="28"/>
      <c r="B49" s="69" t="s">
        <v>94</v>
      </c>
      <c r="C49" s="83">
        <v>527.775</v>
      </c>
      <c r="D49" s="76">
        <f>C49*0.05883</f>
        <v>31.05</v>
      </c>
      <c r="E49" s="27">
        <v>48.63</v>
      </c>
      <c r="F49" s="27">
        <v>743.34</v>
      </c>
      <c r="G49" s="27">
        <f>C49*E49/1000</f>
        <v>25.67</v>
      </c>
      <c r="H49" s="27">
        <f>D49*F49/1000</f>
        <v>23.08</v>
      </c>
      <c r="I49" s="81">
        <v>153.23</v>
      </c>
      <c r="J49" s="76">
        <f>I49*0.05883</f>
        <v>9.01</v>
      </c>
      <c r="K49" s="27">
        <v>51.25</v>
      </c>
      <c r="L49" s="27">
        <v>775.25</v>
      </c>
      <c r="M49" s="27">
        <f>I49*K49/1000</f>
        <v>7.85</v>
      </c>
      <c r="N49" s="27">
        <f>J49*L49/1000</f>
        <v>6.99</v>
      </c>
      <c r="O49" s="27">
        <f t="shared" si="1"/>
        <v>681.01</v>
      </c>
      <c r="P49" s="27">
        <f t="shared" si="2"/>
        <v>40.06</v>
      </c>
      <c r="Q49" s="27">
        <f>G49+M49</f>
        <v>33.52</v>
      </c>
      <c r="R49" s="27">
        <f>H49+N49</f>
        <v>30.07</v>
      </c>
    </row>
    <row r="50" spans="1:18" ht="12.75" customHeight="1" hidden="1">
      <c r="A50" s="28"/>
      <c r="B50" s="69" t="s">
        <v>95</v>
      </c>
      <c r="C50" s="81"/>
      <c r="D50" s="76"/>
      <c r="E50" s="27"/>
      <c r="F50" s="27"/>
      <c r="G50" s="27"/>
      <c r="H50" s="27"/>
      <c r="I50" s="81"/>
      <c r="J50" s="76"/>
      <c r="K50" s="27"/>
      <c r="L50" s="27"/>
      <c r="M50" s="27"/>
      <c r="N50" s="27"/>
      <c r="O50" s="27"/>
      <c r="P50" s="27"/>
      <c r="Q50" s="27"/>
      <c r="R50" s="27"/>
    </row>
    <row r="51" spans="1:18" ht="12.75" customHeight="1" hidden="1">
      <c r="A51" s="28"/>
      <c r="B51" s="69" t="s">
        <v>96</v>
      </c>
      <c r="C51" s="83">
        <v>482.83</v>
      </c>
      <c r="D51" s="76">
        <f>C51*0.05883</f>
        <v>28.4</v>
      </c>
      <c r="E51" s="27">
        <v>48.63</v>
      </c>
      <c r="F51" s="27">
        <v>743.34</v>
      </c>
      <c r="G51" s="27">
        <f>C51*E51/1000</f>
        <v>23.48</v>
      </c>
      <c r="H51" s="27">
        <f>D51*F51/1000</f>
        <v>21.11</v>
      </c>
      <c r="I51" s="81">
        <v>140.17</v>
      </c>
      <c r="J51" s="76">
        <f>I51*0.05883</f>
        <v>8.25</v>
      </c>
      <c r="K51" s="27">
        <v>51.25</v>
      </c>
      <c r="L51" s="27">
        <v>775.25</v>
      </c>
      <c r="M51" s="27">
        <f>I51*K51/1000</f>
        <v>7.18</v>
      </c>
      <c r="N51" s="27">
        <f>J51*L51/1000</f>
        <v>6.4</v>
      </c>
      <c r="O51" s="27">
        <f t="shared" si="1"/>
        <v>623</v>
      </c>
      <c r="P51" s="27">
        <f t="shared" si="2"/>
        <v>36.65</v>
      </c>
      <c r="Q51" s="27">
        <f>G51+M51</f>
        <v>30.66</v>
      </c>
      <c r="R51" s="27">
        <f>H51+N51</f>
        <v>27.51</v>
      </c>
    </row>
    <row r="52" spans="1:18" ht="12.75" customHeight="1" hidden="1">
      <c r="A52" s="28"/>
      <c r="B52" s="69" t="s">
        <v>97</v>
      </c>
      <c r="C52" s="81"/>
      <c r="D52" s="76"/>
      <c r="E52" s="27"/>
      <c r="F52" s="27"/>
      <c r="G52" s="27"/>
      <c r="H52" s="27"/>
      <c r="I52" s="81"/>
      <c r="J52" s="76"/>
      <c r="K52" s="27"/>
      <c r="L52" s="27"/>
      <c r="M52" s="27"/>
      <c r="N52" s="27"/>
      <c r="O52" s="27"/>
      <c r="P52" s="27"/>
      <c r="Q52" s="27"/>
      <c r="R52" s="27"/>
    </row>
    <row r="53" spans="1:18" ht="12.75" customHeight="1" hidden="1">
      <c r="A53" s="28"/>
      <c r="B53" s="69" t="s">
        <v>98</v>
      </c>
      <c r="C53" s="83">
        <v>470.99</v>
      </c>
      <c r="D53" s="76">
        <f>C53*0.05883</f>
        <v>27.71</v>
      </c>
      <c r="E53" s="27">
        <v>48.63</v>
      </c>
      <c r="F53" s="27">
        <v>743.34</v>
      </c>
      <c r="G53" s="27">
        <f>C53*E53/1000</f>
        <v>22.9</v>
      </c>
      <c r="H53" s="27">
        <f>D53*F53/1000</f>
        <v>20.6</v>
      </c>
      <c r="I53" s="81">
        <v>136.74</v>
      </c>
      <c r="J53" s="76">
        <f>I53*0.05883</f>
        <v>8.04</v>
      </c>
      <c r="K53" s="27">
        <v>51.25</v>
      </c>
      <c r="L53" s="27">
        <v>775.25</v>
      </c>
      <c r="M53" s="27">
        <f>I53*K53/1000</f>
        <v>7.01</v>
      </c>
      <c r="N53" s="27">
        <f>J53*L53/1000</f>
        <v>6.23</v>
      </c>
      <c r="O53" s="27">
        <f t="shared" si="1"/>
        <v>607.73</v>
      </c>
      <c r="P53" s="27">
        <f t="shared" si="2"/>
        <v>35.75</v>
      </c>
      <c r="Q53" s="27">
        <f>G53+M53</f>
        <v>29.91</v>
      </c>
      <c r="R53" s="27">
        <f>H53+N53</f>
        <v>26.83</v>
      </c>
    </row>
    <row r="54" spans="1:18" ht="12.75" customHeight="1" hidden="1">
      <c r="A54" s="28"/>
      <c r="B54" s="69" t="s">
        <v>99</v>
      </c>
      <c r="C54" s="81"/>
      <c r="D54" s="76"/>
      <c r="E54" s="27"/>
      <c r="F54" s="27"/>
      <c r="G54" s="27"/>
      <c r="H54" s="27"/>
      <c r="I54" s="81"/>
      <c r="J54" s="81"/>
      <c r="K54" s="27"/>
      <c r="L54" s="27"/>
      <c r="M54" s="27"/>
      <c r="N54" s="27"/>
      <c r="O54" s="27"/>
      <c r="P54" s="27"/>
      <c r="Q54" s="27"/>
      <c r="R54" s="27"/>
    </row>
    <row r="55" spans="1:18" ht="12.75" customHeight="1" hidden="1">
      <c r="A55" s="28"/>
      <c r="B55" s="31" t="s">
        <v>100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12.75" customHeight="1" hidden="1">
      <c r="A56" s="28"/>
      <c r="B56" s="31" t="s">
        <v>101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  <row r="57" spans="1:18" ht="12.75" customHeight="1" hidden="1">
      <c r="A57" s="28"/>
      <c r="B57" s="31" t="s">
        <v>102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1:18" ht="12.75" customHeight="1" hidden="1">
      <c r="A58" s="28"/>
      <c r="B58" s="31" t="s">
        <v>57</v>
      </c>
      <c r="C58" s="27"/>
      <c r="D58" s="7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s="12" customFormat="1" ht="27" customHeight="1">
      <c r="A59" s="28">
        <v>5</v>
      </c>
      <c r="B59" s="31" t="s">
        <v>58</v>
      </c>
      <c r="C59" s="27">
        <v>0</v>
      </c>
      <c r="D59" s="76">
        <f>C59*0.05883</f>
        <v>0</v>
      </c>
      <c r="E59" s="27">
        <v>48.63</v>
      </c>
      <c r="F59" s="27">
        <v>743.34</v>
      </c>
      <c r="G59" s="27">
        <f>C59*E59/1000</f>
        <v>0</v>
      </c>
      <c r="H59" s="27">
        <f>D59*F59/1000</f>
        <v>0</v>
      </c>
      <c r="I59" s="27">
        <v>0</v>
      </c>
      <c r="J59" s="76">
        <f>I59*0.05883</f>
        <v>0</v>
      </c>
      <c r="K59" s="27">
        <v>51.25</v>
      </c>
      <c r="L59" s="27">
        <v>775.25</v>
      </c>
      <c r="M59" s="27">
        <f>I59*K59/1000</f>
        <v>0</v>
      </c>
      <c r="N59" s="27">
        <f>J59*L59/1000</f>
        <v>0</v>
      </c>
      <c r="O59" s="27">
        <f t="shared" si="1"/>
        <v>0</v>
      </c>
      <c r="P59" s="27">
        <f t="shared" si="2"/>
        <v>0</v>
      </c>
      <c r="Q59" s="27">
        <f aca="true" t="shared" si="11" ref="Q59:Q69">G59+M59</f>
        <v>0</v>
      </c>
      <c r="R59" s="27">
        <f aca="true" t="shared" si="12" ref="R59:R69">H59+N59</f>
        <v>0</v>
      </c>
    </row>
    <row r="60" spans="1:18" ht="29.25" customHeight="1">
      <c r="A60" s="28">
        <v>6</v>
      </c>
      <c r="B60" s="31" t="s">
        <v>103</v>
      </c>
      <c r="C60" s="27">
        <v>117</v>
      </c>
      <c r="D60" s="76">
        <f>C60*0.05883</f>
        <v>6.88</v>
      </c>
      <c r="E60" s="27">
        <v>48.63</v>
      </c>
      <c r="F60" s="27">
        <v>743.34</v>
      </c>
      <c r="G60" s="27">
        <f>C60*E60/1000</f>
        <v>5.69</v>
      </c>
      <c r="H60" s="27">
        <f>D60*F60/1000</f>
        <v>5.11</v>
      </c>
      <c r="I60" s="27">
        <v>113.08</v>
      </c>
      <c r="J60" s="76">
        <f>I60*0.05883</f>
        <v>6.65</v>
      </c>
      <c r="K60" s="27">
        <v>51.25</v>
      </c>
      <c r="L60" s="27">
        <v>775.25</v>
      </c>
      <c r="M60" s="27">
        <f>I60*K60/1000</f>
        <v>5.8</v>
      </c>
      <c r="N60" s="27">
        <f>J60*L60/1000</f>
        <v>5.16</v>
      </c>
      <c r="O60" s="27">
        <f t="shared" si="1"/>
        <v>230.08</v>
      </c>
      <c r="P60" s="27">
        <f t="shared" si="2"/>
        <v>13.53</v>
      </c>
      <c r="Q60" s="27">
        <f t="shared" si="11"/>
        <v>11.49</v>
      </c>
      <c r="R60" s="27">
        <f t="shared" si="12"/>
        <v>10.27</v>
      </c>
    </row>
    <row r="61" spans="1:18" ht="31.5" customHeight="1">
      <c r="A61" s="28">
        <v>7</v>
      </c>
      <c r="B61" s="31" t="s">
        <v>126</v>
      </c>
      <c r="C61" s="70">
        <f>SUM(C62:C63)</f>
        <v>3598.22</v>
      </c>
      <c r="D61" s="70">
        <f>SUM(D62:D63)</f>
        <v>211.68</v>
      </c>
      <c r="E61" s="27">
        <v>48.63</v>
      </c>
      <c r="F61" s="27">
        <v>743.34</v>
      </c>
      <c r="G61" s="70">
        <f>SUM(G62:G63)</f>
        <v>174.99</v>
      </c>
      <c r="H61" s="70">
        <f>SUM(H62:H63)</f>
        <v>157.35</v>
      </c>
      <c r="I61" s="70">
        <f>SUM(I62:I63)</f>
        <v>3598.22</v>
      </c>
      <c r="J61" s="70">
        <f>SUM(J62:J63)</f>
        <v>211.68</v>
      </c>
      <c r="K61" s="27">
        <v>51.25</v>
      </c>
      <c r="L61" s="27">
        <v>775.25</v>
      </c>
      <c r="M61" s="70">
        <f>SUM(M62:M63)</f>
        <v>184.41</v>
      </c>
      <c r="N61" s="70">
        <f>SUM(N62:N63)</f>
        <v>164.11</v>
      </c>
      <c r="O61" s="27">
        <f t="shared" si="1"/>
        <v>7196.44</v>
      </c>
      <c r="P61" s="27">
        <f t="shared" si="2"/>
        <v>423.36</v>
      </c>
      <c r="Q61" s="27">
        <f t="shared" si="11"/>
        <v>359.4</v>
      </c>
      <c r="R61" s="27">
        <f t="shared" si="12"/>
        <v>321.46</v>
      </c>
    </row>
    <row r="62" spans="1:18" ht="14.25" customHeight="1" hidden="1">
      <c r="A62" s="28"/>
      <c r="B62" s="31" t="s">
        <v>104</v>
      </c>
      <c r="C62" s="27">
        <v>29.1</v>
      </c>
      <c r="D62" s="76">
        <f>C62*0.05883</f>
        <v>1.71</v>
      </c>
      <c r="E62" s="27">
        <v>48.63</v>
      </c>
      <c r="F62" s="27">
        <v>743.34</v>
      </c>
      <c r="G62" s="27">
        <f>C62*E62/1000</f>
        <v>1.42</v>
      </c>
      <c r="H62" s="27">
        <f>D62*F62/1000</f>
        <v>1.27</v>
      </c>
      <c r="I62" s="27">
        <v>29.1</v>
      </c>
      <c r="J62" s="76">
        <f>I62*0.05883</f>
        <v>1.71</v>
      </c>
      <c r="K62" s="27">
        <v>51.25</v>
      </c>
      <c r="L62" s="27">
        <v>775.25</v>
      </c>
      <c r="M62" s="27">
        <f>I62*K62/1000</f>
        <v>1.49</v>
      </c>
      <c r="N62" s="27">
        <f>J62*L62/1000</f>
        <v>1.33</v>
      </c>
      <c r="O62" s="27">
        <f t="shared" si="1"/>
        <v>58.2</v>
      </c>
      <c r="P62" s="27">
        <f>D62+J62</f>
        <v>3.42</v>
      </c>
      <c r="Q62" s="27">
        <f t="shared" si="11"/>
        <v>2.91</v>
      </c>
      <c r="R62" s="27">
        <f t="shared" si="12"/>
        <v>2.6</v>
      </c>
    </row>
    <row r="63" spans="1:18" ht="14.25" customHeight="1" hidden="1">
      <c r="A63" s="28"/>
      <c r="B63" s="31" t="s">
        <v>105</v>
      </c>
      <c r="C63" s="27">
        <v>3569.12</v>
      </c>
      <c r="D63" s="76">
        <f>C63*0.05883</f>
        <v>209.97</v>
      </c>
      <c r="E63" s="27">
        <v>48.63</v>
      </c>
      <c r="F63" s="27">
        <v>743.34</v>
      </c>
      <c r="G63" s="27">
        <f>C63*E63/1000</f>
        <v>173.57</v>
      </c>
      <c r="H63" s="27">
        <f>D63*F63/1000</f>
        <v>156.08</v>
      </c>
      <c r="I63" s="27">
        <v>3569.12</v>
      </c>
      <c r="J63" s="76">
        <f>I63*0.05883</f>
        <v>209.97</v>
      </c>
      <c r="K63" s="27">
        <v>51.25</v>
      </c>
      <c r="L63" s="27">
        <v>775.25</v>
      </c>
      <c r="M63" s="27">
        <f>I63*K63/1000</f>
        <v>182.92</v>
      </c>
      <c r="N63" s="27">
        <f>J63*L63/1000</f>
        <v>162.78</v>
      </c>
      <c r="O63" s="27">
        <f t="shared" si="1"/>
        <v>7138.24</v>
      </c>
      <c r="P63" s="27">
        <f t="shared" si="2"/>
        <v>419.94</v>
      </c>
      <c r="Q63" s="27">
        <f t="shared" si="11"/>
        <v>356.49</v>
      </c>
      <c r="R63" s="27">
        <f t="shared" si="12"/>
        <v>318.86</v>
      </c>
    </row>
    <row r="64" spans="1:18" ht="14.25" customHeight="1">
      <c r="A64" s="28">
        <v>8</v>
      </c>
      <c r="B64" s="31" t="s">
        <v>56</v>
      </c>
      <c r="C64" s="70">
        <f>SUM(C65:C66)</f>
        <v>23.77</v>
      </c>
      <c r="D64" s="70">
        <f>SUM(D65:D66)</f>
        <v>1.4</v>
      </c>
      <c r="E64" s="27">
        <v>48.63</v>
      </c>
      <c r="F64" s="27">
        <v>743.34</v>
      </c>
      <c r="G64" s="70">
        <f>SUM(G65:G66)</f>
        <v>1.16</v>
      </c>
      <c r="H64" s="70">
        <f>SUM(H65:H66)</f>
        <v>1.04</v>
      </c>
      <c r="I64" s="70">
        <f>SUM(I65:I66)</f>
        <v>23.77</v>
      </c>
      <c r="J64" s="70">
        <f>SUM(J65:J66)</f>
        <v>1.4</v>
      </c>
      <c r="K64" s="27">
        <v>51.25</v>
      </c>
      <c r="L64" s="27">
        <v>775.25</v>
      </c>
      <c r="M64" s="70">
        <f>SUM(M65:M66)</f>
        <v>1.22</v>
      </c>
      <c r="N64" s="70">
        <f>SUM(N65:N66)</f>
        <v>1.09</v>
      </c>
      <c r="O64" s="27">
        <f t="shared" si="1"/>
        <v>47.54</v>
      </c>
      <c r="P64" s="27">
        <f t="shared" si="2"/>
        <v>2.8</v>
      </c>
      <c r="Q64" s="27">
        <f t="shared" si="11"/>
        <v>2.38</v>
      </c>
      <c r="R64" s="27">
        <f t="shared" si="12"/>
        <v>2.13</v>
      </c>
    </row>
    <row r="65" spans="1:18" ht="14.25" customHeight="1" hidden="1">
      <c r="A65" s="28"/>
      <c r="B65" s="31" t="s">
        <v>6</v>
      </c>
      <c r="C65" s="27">
        <v>23.77</v>
      </c>
      <c r="D65" s="76">
        <f>C65*0.05883</f>
        <v>1.4</v>
      </c>
      <c r="E65" s="27">
        <v>48.63</v>
      </c>
      <c r="F65" s="27">
        <v>743.34</v>
      </c>
      <c r="G65" s="27">
        <f>C65*E65/1000</f>
        <v>1.16</v>
      </c>
      <c r="H65" s="27">
        <f>D65*F65/1000</f>
        <v>1.04</v>
      </c>
      <c r="I65" s="27">
        <v>23.77</v>
      </c>
      <c r="J65" s="76">
        <f>I65*0.05883</f>
        <v>1.4</v>
      </c>
      <c r="K65" s="27">
        <v>51.25</v>
      </c>
      <c r="L65" s="27">
        <v>775.25</v>
      </c>
      <c r="M65" s="27">
        <f>I65*K65/1000</f>
        <v>1.22</v>
      </c>
      <c r="N65" s="27">
        <f>J65*L65/1000</f>
        <v>1.09</v>
      </c>
      <c r="O65" s="27">
        <f t="shared" si="1"/>
        <v>47.54</v>
      </c>
      <c r="P65" s="27">
        <f t="shared" si="2"/>
        <v>2.8</v>
      </c>
      <c r="Q65" s="27">
        <f t="shared" si="11"/>
        <v>2.38</v>
      </c>
      <c r="R65" s="27">
        <f t="shared" si="12"/>
        <v>2.13</v>
      </c>
    </row>
    <row r="66" spans="1:18" ht="14.25" customHeight="1" hidden="1">
      <c r="A66" s="28"/>
      <c r="B66" s="31" t="s">
        <v>107</v>
      </c>
      <c r="C66" s="27">
        <v>0</v>
      </c>
      <c r="D66" s="76">
        <f>C66*0.05883</f>
        <v>0</v>
      </c>
      <c r="E66" s="27">
        <v>48.63</v>
      </c>
      <c r="F66" s="27">
        <v>743.34</v>
      </c>
      <c r="G66" s="27">
        <f>C66*E66/1000</f>
        <v>0</v>
      </c>
      <c r="H66" s="27">
        <f>D66*F66/1000</f>
        <v>0</v>
      </c>
      <c r="I66" s="27">
        <v>0</v>
      </c>
      <c r="J66" s="76">
        <f>I66*0.05883</f>
        <v>0</v>
      </c>
      <c r="K66" s="27">
        <v>51.25</v>
      </c>
      <c r="L66" s="27">
        <v>775.25</v>
      </c>
      <c r="M66" s="27">
        <f>I66*K66/1000</f>
        <v>0</v>
      </c>
      <c r="N66" s="27">
        <f>J66*L66/1000</f>
        <v>0</v>
      </c>
      <c r="O66" s="27">
        <f t="shared" si="1"/>
        <v>0</v>
      </c>
      <c r="P66" s="27">
        <f t="shared" si="2"/>
        <v>0</v>
      </c>
      <c r="Q66" s="27">
        <f t="shared" si="11"/>
        <v>0</v>
      </c>
      <c r="R66" s="27">
        <f t="shared" si="12"/>
        <v>0</v>
      </c>
    </row>
    <row r="67" spans="1:18" ht="26.25" customHeight="1">
      <c r="A67" s="28">
        <v>9</v>
      </c>
      <c r="B67" s="31" t="s">
        <v>47</v>
      </c>
      <c r="C67" s="70">
        <f>SUM(C68:C69)</f>
        <v>344</v>
      </c>
      <c r="D67" s="70">
        <f>SUM(D68:D69)</f>
        <v>20.24</v>
      </c>
      <c r="E67" s="27">
        <v>48.63</v>
      </c>
      <c r="F67" s="27">
        <v>743.34</v>
      </c>
      <c r="G67" s="70">
        <f>SUM(G68:G69)</f>
        <v>16.73</v>
      </c>
      <c r="H67" s="70">
        <f>SUM(H68:H69)</f>
        <v>15.04</v>
      </c>
      <c r="I67" s="70">
        <f>SUM(I68:I69)</f>
        <v>386.14</v>
      </c>
      <c r="J67" s="70">
        <f>SUM(J68:J69)</f>
        <v>22.71</v>
      </c>
      <c r="K67" s="27">
        <v>51.25</v>
      </c>
      <c r="L67" s="27">
        <v>775.25</v>
      </c>
      <c r="M67" s="70">
        <f>SUM(M68:M69)</f>
        <v>19.79</v>
      </c>
      <c r="N67" s="70">
        <f>SUM(N68:N69)</f>
        <v>17.6</v>
      </c>
      <c r="O67" s="27">
        <f t="shared" si="1"/>
        <v>730.14</v>
      </c>
      <c r="P67" s="27">
        <f t="shared" si="2"/>
        <v>42.95</v>
      </c>
      <c r="Q67" s="27">
        <f t="shared" si="11"/>
        <v>36.52</v>
      </c>
      <c r="R67" s="27">
        <f t="shared" si="12"/>
        <v>32.64</v>
      </c>
    </row>
    <row r="68" spans="1:18" ht="35.25" customHeight="1" hidden="1">
      <c r="A68" s="28"/>
      <c r="B68" s="31" t="s">
        <v>47</v>
      </c>
      <c r="C68" s="27">
        <v>60</v>
      </c>
      <c r="D68" s="76">
        <f>C68*0.05883</f>
        <v>3.53</v>
      </c>
      <c r="E68" s="27">
        <v>48.63</v>
      </c>
      <c r="F68" s="27">
        <v>743.34</v>
      </c>
      <c r="G68" s="27">
        <f>C68*E68/1000</f>
        <v>2.92</v>
      </c>
      <c r="H68" s="27">
        <f>D68*F68/1000</f>
        <v>2.62</v>
      </c>
      <c r="I68" s="27">
        <v>153.4</v>
      </c>
      <c r="J68" s="76">
        <f>I68*0.05883</f>
        <v>9.02</v>
      </c>
      <c r="K68" s="27">
        <v>51.25</v>
      </c>
      <c r="L68" s="27">
        <v>775.25</v>
      </c>
      <c r="M68" s="27">
        <f>I68*K68/1000</f>
        <v>7.86</v>
      </c>
      <c r="N68" s="27">
        <f>J68*L68/1000</f>
        <v>6.99</v>
      </c>
      <c r="O68" s="27">
        <f t="shared" si="1"/>
        <v>213.4</v>
      </c>
      <c r="P68" s="27">
        <f t="shared" si="2"/>
        <v>12.55</v>
      </c>
      <c r="Q68" s="27">
        <f t="shared" si="11"/>
        <v>10.78</v>
      </c>
      <c r="R68" s="27">
        <f t="shared" si="12"/>
        <v>9.61</v>
      </c>
    </row>
    <row r="69" spans="1:18" ht="36" customHeight="1" hidden="1">
      <c r="A69" s="28"/>
      <c r="B69" s="31" t="s">
        <v>52</v>
      </c>
      <c r="C69" s="27">
        <v>284</v>
      </c>
      <c r="D69" s="76">
        <f>C69*0.05883</f>
        <v>16.71</v>
      </c>
      <c r="E69" s="27">
        <v>48.63</v>
      </c>
      <c r="F69" s="27">
        <v>743.34</v>
      </c>
      <c r="G69" s="27">
        <f>C69*E69/1000</f>
        <v>13.81</v>
      </c>
      <c r="H69" s="27">
        <f>D69*F69/1000</f>
        <v>12.42</v>
      </c>
      <c r="I69" s="27">
        <v>232.74</v>
      </c>
      <c r="J69" s="76">
        <f>I69*0.05883</f>
        <v>13.69</v>
      </c>
      <c r="K69" s="27">
        <v>51.25</v>
      </c>
      <c r="L69" s="27">
        <v>775.25</v>
      </c>
      <c r="M69" s="27">
        <f>I69*K69/1000</f>
        <v>11.93</v>
      </c>
      <c r="N69" s="27">
        <f>J69*L69/1000</f>
        <v>10.61</v>
      </c>
      <c r="O69" s="27">
        <f t="shared" si="1"/>
        <v>516.74</v>
      </c>
      <c r="P69" s="27">
        <f t="shared" si="2"/>
        <v>30.4</v>
      </c>
      <c r="Q69" s="27">
        <f t="shared" si="11"/>
        <v>25.74</v>
      </c>
      <c r="R69" s="27">
        <f t="shared" si="12"/>
        <v>23.03</v>
      </c>
    </row>
    <row r="70" spans="1:18" s="14" customFormat="1" ht="13.5" customHeight="1">
      <c r="A70" s="99" t="s">
        <v>34</v>
      </c>
      <c r="B70" s="113"/>
      <c r="C70" s="32">
        <f>C67+C64+C61+C60+C59+C58+C41+C17+C16+C15</f>
        <v>23033.64</v>
      </c>
      <c r="D70" s="32">
        <f>D67+D64+D61+D60+D59+D58+D41+D17+D16+D15</f>
        <v>1355.08</v>
      </c>
      <c r="E70" s="33">
        <v>48.63</v>
      </c>
      <c r="F70" s="33">
        <v>743.34</v>
      </c>
      <c r="G70" s="32">
        <f>G67+G64+G61+G60+G59+G58+G41+G17+G16+G15</f>
        <v>1120.13</v>
      </c>
      <c r="H70" s="32">
        <f>H67+H64+H61+H60+H59+H58+H41+H17+H16+H15</f>
        <v>1007.27</v>
      </c>
      <c r="I70" s="32">
        <f>I67+I64+I61+I60+I59+I58+I41+I17+I16+I15</f>
        <v>28331.07</v>
      </c>
      <c r="J70" s="32">
        <f>J67+J64+J61+J60+J59+J58+J41+J17+J16+J15</f>
        <v>1666.72</v>
      </c>
      <c r="K70" s="33">
        <f>E70</f>
        <v>48.63</v>
      </c>
      <c r="L70" s="33">
        <v>775.25</v>
      </c>
      <c r="M70" s="32">
        <f aca="true" t="shared" si="13" ref="M70:R70">M67+M64+M61+M60+M59+M58+M41+M17+M16+M15</f>
        <v>1452.01</v>
      </c>
      <c r="N70" s="32">
        <f t="shared" si="13"/>
        <v>1292.15</v>
      </c>
      <c r="O70" s="32">
        <f t="shared" si="13"/>
        <v>51364.71</v>
      </c>
      <c r="P70" s="32">
        <f t="shared" si="13"/>
        <v>3021.8</v>
      </c>
      <c r="Q70" s="32">
        <f t="shared" si="13"/>
        <v>2572.14</v>
      </c>
      <c r="R70" s="32">
        <f t="shared" si="13"/>
        <v>2299.42</v>
      </c>
    </row>
    <row r="71" spans="1:18" ht="12.75">
      <c r="A71" s="9"/>
      <c r="B71" s="10"/>
      <c r="E71" s="11"/>
      <c r="F71" s="11"/>
      <c r="G71" s="11"/>
      <c r="H71" s="11"/>
      <c r="K71" s="11"/>
      <c r="L71" s="11"/>
      <c r="M71" s="11"/>
      <c r="N71" s="11"/>
      <c r="O71" s="40"/>
      <c r="P71" s="40"/>
      <c r="Q71" s="40"/>
      <c r="R71" s="13"/>
    </row>
    <row r="72" spans="1:18" ht="12.75">
      <c r="A72" s="9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40"/>
      <c r="P72" s="40"/>
      <c r="Q72" s="40"/>
      <c r="R72" s="3"/>
    </row>
    <row r="73" spans="1:18" ht="12.75">
      <c r="A73" s="9"/>
      <c r="B73" s="1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13"/>
    </row>
    <row r="74" spans="1:18" ht="12.75">
      <c r="A74" s="9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40"/>
      <c r="P74" s="40"/>
      <c r="Q74" s="40"/>
      <c r="R74" s="13"/>
    </row>
    <row r="75" spans="1:18" ht="12.75">
      <c r="A75" s="9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41"/>
      <c r="P75" s="41"/>
      <c r="Q75" s="41"/>
      <c r="R75" s="41"/>
    </row>
    <row r="76" spans="15:18" ht="12.75">
      <c r="O76" s="46"/>
      <c r="P76" s="46"/>
      <c r="Q76" s="46"/>
      <c r="R76" s="12"/>
    </row>
    <row r="77" spans="5:18" ht="12.75">
      <c r="E77" s="12"/>
      <c r="F77" s="12"/>
      <c r="G77" s="12"/>
      <c r="H77" s="12"/>
      <c r="K77" s="12"/>
      <c r="L77" s="12"/>
      <c r="M77" s="12"/>
      <c r="N77" s="12"/>
      <c r="O77" s="12"/>
      <c r="P77" s="12"/>
      <c r="Q77" s="12"/>
      <c r="R77" s="12"/>
    </row>
    <row r="78" spans="5:18" ht="12.75">
      <c r="E78" s="12"/>
      <c r="F78" s="12"/>
      <c r="G78" s="12"/>
      <c r="H78" s="12"/>
      <c r="K78" s="12"/>
      <c r="L78" s="12"/>
      <c r="M78" s="12"/>
      <c r="N78" s="12"/>
      <c r="O78" s="12"/>
      <c r="P78" s="12"/>
      <c r="Q78" s="12"/>
      <c r="R78" s="12"/>
    </row>
    <row r="79" spans="5:18" ht="12.75">
      <c r="E79" s="12"/>
      <c r="F79" s="12"/>
      <c r="G79" s="12"/>
      <c r="H79" s="12"/>
      <c r="K79" s="12"/>
      <c r="L79" s="12"/>
      <c r="M79" s="12"/>
      <c r="N79" s="12"/>
      <c r="O79" s="12"/>
      <c r="P79" s="12"/>
      <c r="Q79" s="12"/>
      <c r="R79" s="12"/>
    </row>
    <row r="80" spans="5:18" ht="12.75">
      <c r="E80" s="12"/>
      <c r="F80" s="12"/>
      <c r="G80" s="12"/>
      <c r="H80" s="12"/>
      <c r="K80" s="12"/>
      <c r="L80" s="12"/>
      <c r="M80" s="12"/>
      <c r="N80" s="12"/>
      <c r="O80" s="12"/>
      <c r="P80" s="12"/>
      <c r="Q80" s="12"/>
      <c r="R80" s="12"/>
    </row>
    <row r="81" spans="5:18" ht="12.75">
      <c r="E81" s="12"/>
      <c r="F81" s="12"/>
      <c r="G81" s="12"/>
      <c r="H81" s="12"/>
      <c r="K81" s="12"/>
      <c r="L81" s="12"/>
      <c r="M81" s="12"/>
      <c r="N81" s="12"/>
      <c r="O81" s="12"/>
      <c r="P81" s="12"/>
      <c r="Q81" s="12"/>
      <c r="R81" s="12"/>
    </row>
    <row r="82" spans="5:18" ht="12.75">
      <c r="E82" s="12"/>
      <c r="F82" s="12"/>
      <c r="G82" s="12"/>
      <c r="H82" s="12"/>
      <c r="K82" s="12"/>
      <c r="L82" s="12"/>
      <c r="M82" s="12"/>
      <c r="N82" s="12"/>
      <c r="O82" s="12"/>
      <c r="P82" s="12"/>
      <c r="Q82" s="12"/>
      <c r="R82" s="12"/>
    </row>
    <row r="83" spans="5:18" ht="12.75">
      <c r="E83" s="12"/>
      <c r="F83" s="12"/>
      <c r="G83" s="12"/>
      <c r="H83" s="12"/>
      <c r="K83" s="12"/>
      <c r="L83" s="12"/>
      <c r="M83" s="12"/>
      <c r="N83" s="12"/>
      <c r="O83" s="12"/>
      <c r="P83" s="12"/>
      <c r="Q83" s="12"/>
      <c r="R83" s="12"/>
    </row>
    <row r="84" spans="5:18" ht="12.75">
      <c r="E84" s="12"/>
      <c r="F84" s="12"/>
      <c r="G84" s="12"/>
      <c r="H84" s="12"/>
      <c r="K84" s="12"/>
      <c r="L84" s="12"/>
      <c r="M84" s="12"/>
      <c r="N84" s="12"/>
      <c r="O84" s="12"/>
      <c r="P84" s="12"/>
      <c r="Q84" s="12"/>
      <c r="R84" s="12"/>
    </row>
    <row r="85" spans="5:18" ht="12.75">
      <c r="E85" s="12"/>
      <c r="F85" s="12"/>
      <c r="G85" s="12"/>
      <c r="H85" s="12"/>
      <c r="K85" s="12"/>
      <c r="L85" s="12"/>
      <c r="M85" s="12"/>
      <c r="N85" s="12"/>
      <c r="O85" s="12"/>
      <c r="P85" s="12"/>
      <c r="Q85" s="12"/>
      <c r="R85" s="12"/>
    </row>
    <row r="86" spans="5:18" ht="12.75">
      <c r="E86" s="12"/>
      <c r="F86" s="12"/>
      <c r="G86" s="12"/>
      <c r="H86" s="12"/>
      <c r="K86" s="12"/>
      <c r="L86" s="12"/>
      <c r="M86" s="12"/>
      <c r="N86" s="12"/>
      <c r="O86" s="12"/>
      <c r="P86" s="12"/>
      <c r="Q86" s="12"/>
      <c r="R86" s="12"/>
    </row>
    <row r="87" spans="1:18" ht="12.75">
      <c r="A87" s="15"/>
      <c r="B87" s="1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2.75">
      <c r="A88" s="15"/>
      <c r="B88" s="1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12.75">
      <c r="A89" s="15"/>
      <c r="B89" s="1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ht="12.75">
      <c r="A90" s="15"/>
      <c r="B90" s="1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2.75">
      <c r="A91" s="15"/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.75" customHeight="1">
      <c r="A92" s="17"/>
      <c r="B92" s="18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2.75">
      <c r="A93" s="17"/>
      <c r="B93" s="18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17"/>
      <c r="B94" s="18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17"/>
      <c r="B95" s="18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15"/>
      <c r="B96" s="1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3.5">
      <c r="A97" s="15"/>
      <c r="B97" s="2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3.5">
      <c r="A98" s="15"/>
      <c r="B98" s="20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15"/>
      <c r="B99" s="2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2.75">
      <c r="A100" s="15"/>
      <c r="B100" s="1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15"/>
      <c r="B101" s="1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2.75">
      <c r="A102" s="15"/>
      <c r="B102" s="16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15"/>
      <c r="B103" s="2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15"/>
      <c r="B104" s="16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17"/>
      <c r="B105" s="18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15"/>
      <c r="B106" s="19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ht="13.5">
      <c r="A107" s="15"/>
      <c r="B107" s="20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ht="13.5">
      <c r="A108" s="15"/>
      <c r="B108" s="20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15"/>
      <c r="B109" s="2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ht="12.75">
      <c r="A110" s="15"/>
      <c r="B110" s="16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ht="12.75">
      <c r="A111" s="15"/>
      <c r="B111" s="16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2.75">
      <c r="A112" s="15"/>
      <c r="B112" s="16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12.75">
      <c r="A113" s="15"/>
      <c r="B113" s="2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ht="12.75">
      <c r="A114" s="15"/>
      <c r="B114" s="16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12.75">
      <c r="A115" s="15"/>
      <c r="B115" s="1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12.75">
      <c r="A116" s="15"/>
      <c r="B116" s="16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ht="12.75">
      <c r="A117" s="15"/>
      <c r="B117" s="16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2.75">
      <c r="A118" s="15"/>
      <c r="B118" s="16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12.75">
      <c r="A119" s="15"/>
      <c r="B119" s="1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ht="12.75">
      <c r="A120" s="15"/>
      <c r="B120" s="16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ht="12.75">
      <c r="A121" s="15"/>
      <c r="B121" s="16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2.75">
      <c r="A122" s="15"/>
      <c r="B122" s="16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ht="12.75">
      <c r="A123" s="15"/>
      <c r="B123" s="16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5"/>
      <c r="B124" s="16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5"/>
      <c r="B125" s="16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5"/>
      <c r="B126" s="16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5"/>
      <c r="B127" s="16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5"/>
      <c r="B128" s="16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5"/>
      <c r="B129" s="16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5"/>
      <c r="B130" s="16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ht="12.75">
      <c r="A131" s="15"/>
      <c r="B131" s="16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ht="12.75">
      <c r="A132" s="15"/>
      <c r="B132" s="16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2.75">
      <c r="A133" s="15"/>
      <c r="B133" s="16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ht="12.75">
      <c r="A134" s="15"/>
      <c r="B134" s="16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ht="12.75">
      <c r="A135" s="15"/>
      <c r="B135" s="16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ht="12.75">
      <c r="A136" s="15"/>
      <c r="B136" s="16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2.75">
      <c r="A137" s="15"/>
      <c r="B137" s="16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2.75">
      <c r="A138" s="15"/>
      <c r="B138" s="16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ht="12.75">
      <c r="A139" s="15"/>
      <c r="B139" s="16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ht="12.75">
      <c r="A140" s="15"/>
      <c r="B140" s="16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2.75">
      <c r="A141" s="15"/>
      <c r="B141" s="16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2.75">
      <c r="A142" s="15"/>
      <c r="B142" s="16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2.75">
      <c r="A143" s="15"/>
      <c r="B143" s="16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ht="12.75">
      <c r="A144" s="15"/>
      <c r="B144" s="16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2.75">
      <c r="A145" s="15"/>
      <c r="B145" s="16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ht="12.75">
      <c r="A146" s="15"/>
      <c r="B146" s="16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ht="12.75">
      <c r="A147" s="15"/>
      <c r="B147" s="16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ht="12.75">
      <c r="A148" s="15"/>
      <c r="B148" s="16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ht="12.75">
      <c r="A149" s="15"/>
      <c r="B149" s="16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12.75">
      <c r="A150" s="15"/>
      <c r="B150" s="16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ht="12.75">
      <c r="A151" s="15"/>
      <c r="B151" s="16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ht="12.75">
      <c r="A152" s="15"/>
      <c r="B152" s="16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ht="12.75">
      <c r="A153" s="15"/>
      <c r="B153" s="16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ht="12.75">
      <c r="A154" s="15"/>
      <c r="B154" s="16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ht="12.75">
      <c r="A155" s="15"/>
      <c r="B155" s="16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ht="12.75">
      <c r="A156" s="15"/>
      <c r="B156" s="16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ht="12.75">
      <c r="A157" s="15"/>
      <c r="B157" s="16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ht="12.75">
      <c r="A158" s="15"/>
      <c r="B158" s="16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ht="12.75">
      <c r="A159" s="15"/>
      <c r="B159" s="16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12.75">
      <c r="A160" s="15"/>
      <c r="B160" s="16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ht="12.75">
      <c r="A161" s="15"/>
      <c r="B161" s="16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ht="12.75">
      <c r="A162" s="15"/>
      <c r="B162" s="16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</sheetData>
  <sheetProtection/>
  <mergeCells count="34">
    <mergeCell ref="A70:B70"/>
    <mergeCell ref="E13:E14"/>
    <mergeCell ref="F13:F14"/>
    <mergeCell ref="A11:A14"/>
    <mergeCell ref="B11:B14"/>
    <mergeCell ref="C12:C14"/>
    <mergeCell ref="C11:H11"/>
    <mergeCell ref="E12:F12"/>
    <mergeCell ref="G13:G14"/>
    <mergeCell ref="H13:H14"/>
    <mergeCell ref="K13:K14"/>
    <mergeCell ref="L13:L14"/>
    <mergeCell ref="M13:M14"/>
    <mergeCell ref="J12:J14"/>
    <mergeCell ref="O1:R1"/>
    <mergeCell ref="O2:R2"/>
    <mergeCell ref="O3:R3"/>
    <mergeCell ref="P12:P14"/>
    <mergeCell ref="A9:R9"/>
    <mergeCell ref="O11:R11"/>
    <mergeCell ref="O12:O14"/>
    <mergeCell ref="I11:N11"/>
    <mergeCell ref="I12:I14"/>
    <mergeCell ref="K12:L12"/>
    <mergeCell ref="O7:R7"/>
    <mergeCell ref="O5:R5"/>
    <mergeCell ref="O6:R6"/>
    <mergeCell ref="D12:D14"/>
    <mergeCell ref="Q12:R12"/>
    <mergeCell ref="Q13:Q14"/>
    <mergeCell ref="R13:R14"/>
    <mergeCell ref="G12:H12"/>
    <mergeCell ref="M12:N12"/>
    <mergeCell ref="N13:N14"/>
  </mergeCells>
  <printOptions/>
  <pageMargins left="0.1968503937007874" right="0.17" top="0.4724409448818898" bottom="0.3937007874015748" header="0" footer="0.1968503937007874"/>
  <pageSetup fitToHeight="2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T188"/>
  <sheetViews>
    <sheetView zoomScaleSheetLayoutView="80" zoomScalePageLayoutView="0" workbookViewId="0" topLeftCell="A1">
      <selection activeCell="C4" sqref="C4"/>
    </sheetView>
  </sheetViews>
  <sheetFormatPr defaultColWidth="9.00390625" defaultRowHeight="12.75"/>
  <cols>
    <col min="1" max="1" width="6.125" style="6" customWidth="1"/>
    <col min="2" max="2" width="39.75390625" style="7" customWidth="1"/>
    <col min="3" max="3" width="14.00390625" style="8" customWidth="1"/>
    <col min="4" max="4" width="11.375" style="8" customWidth="1"/>
    <col min="5" max="5" width="10.75390625" style="8" customWidth="1"/>
    <col min="6" max="6" width="13.625" style="8" customWidth="1"/>
    <col min="7" max="7" width="12.375" style="8" customWidth="1"/>
    <col min="8" max="8" width="10.875" style="8" customWidth="1"/>
    <col min="9" max="9" width="13.875" style="8" customWidth="1"/>
    <col min="10" max="10" width="13.125" style="8" customWidth="1"/>
    <col min="11" max="16384" width="9.125" style="8" customWidth="1"/>
  </cols>
  <sheetData>
    <row r="1" spans="5:10" ht="12.75" customHeight="1">
      <c r="E1" s="123"/>
      <c r="F1" s="123"/>
      <c r="G1" s="62"/>
      <c r="H1" s="108" t="s">
        <v>123</v>
      </c>
      <c r="I1" s="108"/>
      <c r="J1" s="108"/>
    </row>
    <row r="2" spans="5:10" ht="12.75" customHeight="1">
      <c r="E2" s="35"/>
      <c r="F2" s="35"/>
      <c r="G2" s="35"/>
      <c r="H2" s="108" t="s">
        <v>109</v>
      </c>
      <c r="I2" s="108"/>
      <c r="J2" s="108"/>
    </row>
    <row r="3" spans="5:10" ht="15.75" customHeight="1">
      <c r="E3" s="123"/>
      <c r="F3" s="123"/>
      <c r="G3" s="62"/>
      <c r="H3" s="108" t="s">
        <v>163</v>
      </c>
      <c r="I3" s="108"/>
      <c r="J3" s="108"/>
    </row>
    <row r="4" spans="5:10" ht="15.75" customHeight="1">
      <c r="E4" s="35"/>
      <c r="F4" s="35"/>
      <c r="G4" s="62"/>
      <c r="H4" s="74"/>
      <c r="I4" s="74"/>
      <c r="J4" s="74"/>
    </row>
    <row r="5" spans="5:10" ht="15.75" customHeight="1">
      <c r="E5" s="35"/>
      <c r="F5" s="35"/>
      <c r="G5" s="62"/>
      <c r="H5" s="108" t="s">
        <v>123</v>
      </c>
      <c r="I5" s="108"/>
      <c r="J5" s="108"/>
    </row>
    <row r="6" spans="5:10" ht="15.75" customHeight="1">
      <c r="E6" s="35"/>
      <c r="F6" s="35"/>
      <c r="G6" s="62"/>
      <c r="H6" s="108" t="s">
        <v>109</v>
      </c>
      <c r="I6" s="108"/>
      <c r="J6" s="108"/>
    </row>
    <row r="7" spans="5:10" ht="15.75" customHeight="1">
      <c r="E7" s="35"/>
      <c r="F7" s="35"/>
      <c r="G7" s="62"/>
      <c r="H7" s="108" t="s">
        <v>152</v>
      </c>
      <c r="I7" s="108"/>
      <c r="J7" s="108"/>
    </row>
    <row r="8" ht="27" customHeight="1"/>
    <row r="9" spans="1:20" ht="30" customHeight="1">
      <c r="A9" s="124" t="s">
        <v>139</v>
      </c>
      <c r="B9" s="124"/>
      <c r="C9" s="124"/>
      <c r="D9" s="124"/>
      <c r="E9" s="124"/>
      <c r="F9" s="124"/>
      <c r="G9" s="124"/>
      <c r="H9" s="124"/>
      <c r="I9" s="124"/>
      <c r="J9" s="124"/>
      <c r="K9" s="21"/>
      <c r="L9" s="11"/>
      <c r="M9" s="11"/>
      <c r="N9" s="11"/>
      <c r="O9" s="11"/>
      <c r="P9" s="11"/>
      <c r="Q9" s="11"/>
      <c r="R9" s="11"/>
      <c r="S9" s="11"/>
      <c r="T9" s="11"/>
    </row>
    <row r="11" spans="1:10" s="12" customFormat="1" ht="12.75">
      <c r="A11" s="106" t="s">
        <v>67</v>
      </c>
      <c r="B11" s="105" t="s">
        <v>68</v>
      </c>
      <c r="C11" s="105" t="s">
        <v>140</v>
      </c>
      <c r="D11" s="105"/>
      <c r="E11" s="105"/>
      <c r="F11" s="105" t="s">
        <v>141</v>
      </c>
      <c r="G11" s="105"/>
      <c r="H11" s="105"/>
      <c r="I11" s="105" t="s">
        <v>134</v>
      </c>
      <c r="J11" s="119"/>
    </row>
    <row r="12" spans="1:10" s="12" customFormat="1" ht="27" customHeight="1">
      <c r="A12" s="106"/>
      <c r="B12" s="105"/>
      <c r="C12" s="105" t="s">
        <v>49</v>
      </c>
      <c r="D12" s="105" t="s">
        <v>111</v>
      </c>
      <c r="E12" s="105" t="s">
        <v>110</v>
      </c>
      <c r="F12" s="105" t="s">
        <v>49</v>
      </c>
      <c r="G12" s="105" t="s">
        <v>111</v>
      </c>
      <c r="H12" s="105" t="s">
        <v>113</v>
      </c>
      <c r="I12" s="105" t="s">
        <v>49</v>
      </c>
      <c r="J12" s="105" t="s">
        <v>114</v>
      </c>
    </row>
    <row r="13" spans="1:10" s="12" customFormat="1" ht="12.75">
      <c r="A13" s="106"/>
      <c r="B13" s="105"/>
      <c r="C13" s="120"/>
      <c r="D13" s="105"/>
      <c r="E13" s="105"/>
      <c r="F13" s="105"/>
      <c r="G13" s="105"/>
      <c r="H13" s="105"/>
      <c r="I13" s="105"/>
      <c r="J13" s="105"/>
    </row>
    <row r="14" spans="1:10" s="12" customFormat="1" ht="14.25" customHeight="1">
      <c r="A14" s="24">
        <v>1</v>
      </c>
      <c r="B14" s="25" t="s">
        <v>3</v>
      </c>
      <c r="C14" s="70">
        <v>182.53</v>
      </c>
      <c r="D14" s="26">
        <v>42.11</v>
      </c>
      <c r="E14" s="26">
        <f>C14*D14/1000</f>
        <v>7.69</v>
      </c>
      <c r="F14" s="70">
        <v>182.53</v>
      </c>
      <c r="G14" s="26">
        <v>44.38</v>
      </c>
      <c r="H14" s="26">
        <f>F14*G14/1000</f>
        <v>8.1</v>
      </c>
      <c r="I14" s="26">
        <f>C14+F14</f>
        <v>365.06</v>
      </c>
      <c r="J14" s="26">
        <f>E14+H14</f>
        <v>15.79</v>
      </c>
    </row>
    <row r="15" spans="1:10" s="12" customFormat="1" ht="26.25" customHeight="1">
      <c r="A15" s="24">
        <v>2</v>
      </c>
      <c r="B15" s="25" t="s">
        <v>60</v>
      </c>
      <c r="C15" s="70">
        <v>57.04</v>
      </c>
      <c r="D15" s="26">
        <v>42.11</v>
      </c>
      <c r="E15" s="26">
        <f>C15*D15/1000</f>
        <v>2.4</v>
      </c>
      <c r="F15" s="70">
        <v>57.04</v>
      </c>
      <c r="G15" s="26">
        <v>44.38</v>
      </c>
      <c r="H15" s="26">
        <f aca="true" t="shared" si="0" ref="H15:H57">F15*G15/1000</f>
        <v>2.53</v>
      </c>
      <c r="I15" s="26">
        <f>C15+F15</f>
        <v>114.08</v>
      </c>
      <c r="J15" s="26">
        <f>E15+H15</f>
        <v>4.93</v>
      </c>
    </row>
    <row r="16" spans="1:10" s="12" customFormat="1" ht="25.5" customHeight="1">
      <c r="A16" s="24">
        <v>3</v>
      </c>
      <c r="B16" s="25" t="s">
        <v>54</v>
      </c>
      <c r="C16" s="70">
        <f>SUM(C17:C39)</f>
        <v>28649</v>
      </c>
      <c r="D16" s="26">
        <f>E16/C16*1000</f>
        <v>45.75</v>
      </c>
      <c r="E16" s="70">
        <f>SUM(E17:E39)</f>
        <v>1310.56</v>
      </c>
      <c r="F16" s="70">
        <f>SUM(F17:F39)</f>
        <v>35054.6</v>
      </c>
      <c r="G16" s="26">
        <f>H16/F16*1000</f>
        <v>48.3</v>
      </c>
      <c r="H16" s="70">
        <f>SUM(H17:H39)</f>
        <v>1693.22</v>
      </c>
      <c r="I16" s="70">
        <f>SUM(I17:I39)</f>
        <v>63703.6</v>
      </c>
      <c r="J16" s="70">
        <f>SUM(J17:J39)</f>
        <v>3003.78</v>
      </c>
    </row>
    <row r="17" spans="1:10" s="12" customFormat="1" ht="14.25" customHeight="1" hidden="1">
      <c r="A17" s="24"/>
      <c r="B17" s="25" t="s">
        <v>29</v>
      </c>
      <c r="C17" s="70">
        <v>213</v>
      </c>
      <c r="D17" s="27">
        <v>42.11</v>
      </c>
      <c r="E17" s="26">
        <f aca="true" t="shared" si="1" ref="E17:E58">C17*D17/1000</f>
        <v>8.97</v>
      </c>
      <c r="F17" s="70">
        <v>392.6</v>
      </c>
      <c r="G17" s="26">
        <v>44.38</v>
      </c>
      <c r="H17" s="26">
        <f t="shared" si="0"/>
        <v>17.42</v>
      </c>
      <c r="I17" s="26">
        <f>C17+F17</f>
        <v>605.6</v>
      </c>
      <c r="J17" s="26">
        <f>E17+H17</f>
        <v>26.39</v>
      </c>
    </row>
    <row r="18" spans="1:10" s="12" customFormat="1" ht="14.25" customHeight="1" hidden="1">
      <c r="A18" s="24"/>
      <c r="B18" s="25" t="s">
        <v>72</v>
      </c>
      <c r="C18" s="70">
        <v>1560</v>
      </c>
      <c r="D18" s="27">
        <v>42.11</v>
      </c>
      <c r="E18" s="26">
        <f t="shared" si="1"/>
        <v>65.69</v>
      </c>
      <c r="F18" s="70">
        <v>1930</v>
      </c>
      <c r="G18" s="26">
        <v>44.38</v>
      </c>
      <c r="H18" s="26">
        <f t="shared" si="0"/>
        <v>85.65</v>
      </c>
      <c r="I18" s="26">
        <f aca="true" t="shared" si="2" ref="I18:I38">C18+F18</f>
        <v>3490</v>
      </c>
      <c r="J18" s="26">
        <f aca="true" t="shared" si="3" ref="J18:J38">E18+H18</f>
        <v>151.34</v>
      </c>
    </row>
    <row r="19" spans="1:10" s="12" customFormat="1" ht="14.25" customHeight="1" hidden="1">
      <c r="A19" s="24"/>
      <c r="B19" s="25" t="s">
        <v>73</v>
      </c>
      <c r="C19" s="70">
        <v>3400</v>
      </c>
      <c r="D19" s="27">
        <v>42.11</v>
      </c>
      <c r="E19" s="26">
        <f t="shared" si="1"/>
        <v>143.17</v>
      </c>
      <c r="F19" s="70">
        <v>3290</v>
      </c>
      <c r="G19" s="26">
        <v>44.38</v>
      </c>
      <c r="H19" s="26">
        <f t="shared" si="0"/>
        <v>146.01</v>
      </c>
      <c r="I19" s="26">
        <f t="shared" si="2"/>
        <v>6690</v>
      </c>
      <c r="J19" s="26">
        <f t="shared" si="3"/>
        <v>289.18</v>
      </c>
    </row>
    <row r="20" spans="1:10" s="12" customFormat="1" ht="14.25" customHeight="1" hidden="1">
      <c r="A20" s="24"/>
      <c r="B20" s="25" t="s">
        <v>74</v>
      </c>
      <c r="C20" s="70">
        <v>2410</v>
      </c>
      <c r="D20" s="27">
        <v>42.11</v>
      </c>
      <c r="E20" s="26">
        <f t="shared" si="1"/>
        <v>101.49</v>
      </c>
      <c r="F20" s="70">
        <v>2680</v>
      </c>
      <c r="G20" s="26">
        <v>44.38</v>
      </c>
      <c r="H20" s="26">
        <f t="shared" si="0"/>
        <v>118.94</v>
      </c>
      <c r="I20" s="26">
        <f t="shared" si="2"/>
        <v>5090</v>
      </c>
      <c r="J20" s="26">
        <f t="shared" si="3"/>
        <v>220.43</v>
      </c>
    </row>
    <row r="21" spans="1:10" s="12" customFormat="1" ht="14.25" customHeight="1" hidden="1">
      <c r="A21" s="24"/>
      <c r="B21" s="25" t="s">
        <v>75</v>
      </c>
      <c r="C21" s="70">
        <v>3683</v>
      </c>
      <c r="D21" s="27">
        <v>42.11</v>
      </c>
      <c r="E21" s="26">
        <f t="shared" si="1"/>
        <v>155.09</v>
      </c>
      <c r="F21" s="70">
        <v>3907</v>
      </c>
      <c r="G21" s="26">
        <v>44.38</v>
      </c>
      <c r="H21" s="26">
        <f t="shared" si="0"/>
        <v>173.39</v>
      </c>
      <c r="I21" s="26">
        <f t="shared" si="2"/>
        <v>7590</v>
      </c>
      <c r="J21" s="26">
        <f t="shared" si="3"/>
        <v>328.48</v>
      </c>
    </row>
    <row r="22" spans="1:10" s="12" customFormat="1" ht="14.25" customHeight="1" hidden="1">
      <c r="A22" s="24"/>
      <c r="B22" s="25" t="s">
        <v>76</v>
      </c>
      <c r="C22" s="70">
        <v>1800</v>
      </c>
      <c r="D22" s="27">
        <v>42.11</v>
      </c>
      <c r="E22" s="26">
        <f t="shared" si="1"/>
        <v>75.8</v>
      </c>
      <c r="F22" s="70">
        <v>1890</v>
      </c>
      <c r="G22" s="26">
        <v>44.38</v>
      </c>
      <c r="H22" s="26">
        <f t="shared" si="0"/>
        <v>83.88</v>
      </c>
      <c r="I22" s="26">
        <f t="shared" si="2"/>
        <v>3690</v>
      </c>
      <c r="J22" s="26">
        <f t="shared" si="3"/>
        <v>159.68</v>
      </c>
    </row>
    <row r="23" spans="1:10" s="12" customFormat="1" ht="14.25" customHeight="1" hidden="1">
      <c r="A23" s="24"/>
      <c r="B23" s="25" t="s">
        <v>77</v>
      </c>
      <c r="C23" s="70">
        <v>475</v>
      </c>
      <c r="D23" s="27">
        <v>42.11</v>
      </c>
      <c r="E23" s="26">
        <f t="shared" si="1"/>
        <v>20</v>
      </c>
      <c r="F23" s="70">
        <v>895</v>
      </c>
      <c r="G23" s="26">
        <v>44.38</v>
      </c>
      <c r="H23" s="26">
        <f t="shared" si="0"/>
        <v>39.72</v>
      </c>
      <c r="I23" s="26">
        <f t="shared" si="2"/>
        <v>1370</v>
      </c>
      <c r="J23" s="26">
        <f t="shared" si="3"/>
        <v>59.72</v>
      </c>
    </row>
    <row r="24" spans="1:10" s="12" customFormat="1" ht="14.25" customHeight="1" hidden="1">
      <c r="A24" s="24"/>
      <c r="B24" s="25" t="s">
        <v>78</v>
      </c>
      <c r="C24" s="70">
        <v>890</v>
      </c>
      <c r="D24" s="27">
        <v>42.11</v>
      </c>
      <c r="E24" s="26">
        <f t="shared" si="1"/>
        <v>37.48</v>
      </c>
      <c r="F24" s="70">
        <v>1300</v>
      </c>
      <c r="G24" s="26">
        <v>44.38</v>
      </c>
      <c r="H24" s="26">
        <f t="shared" si="0"/>
        <v>57.69</v>
      </c>
      <c r="I24" s="26">
        <f t="shared" si="2"/>
        <v>2190</v>
      </c>
      <c r="J24" s="26">
        <f t="shared" si="3"/>
        <v>95.17</v>
      </c>
    </row>
    <row r="25" spans="1:10" s="12" customFormat="1" ht="14.25" customHeight="1" hidden="1">
      <c r="A25" s="24"/>
      <c r="B25" s="25" t="s">
        <v>79</v>
      </c>
      <c r="C25" s="70">
        <v>920</v>
      </c>
      <c r="D25" s="27">
        <v>42.11</v>
      </c>
      <c r="E25" s="26">
        <f t="shared" si="1"/>
        <v>38.74</v>
      </c>
      <c r="F25" s="70">
        <v>1170</v>
      </c>
      <c r="G25" s="26">
        <v>44.38</v>
      </c>
      <c r="H25" s="26">
        <f t="shared" si="0"/>
        <v>51.92</v>
      </c>
      <c r="I25" s="26">
        <f t="shared" si="2"/>
        <v>2090</v>
      </c>
      <c r="J25" s="26">
        <f t="shared" si="3"/>
        <v>90.66</v>
      </c>
    </row>
    <row r="26" spans="1:10" s="12" customFormat="1" ht="14.25" customHeight="1" hidden="1">
      <c r="A26" s="24"/>
      <c r="B26" s="25" t="s">
        <v>80</v>
      </c>
      <c r="C26" s="70">
        <v>239</v>
      </c>
      <c r="D26" s="27">
        <v>42.11</v>
      </c>
      <c r="E26" s="26">
        <f t="shared" si="1"/>
        <v>10.06</v>
      </c>
      <c r="F26" s="70">
        <v>411</v>
      </c>
      <c r="G26" s="26">
        <v>44.38</v>
      </c>
      <c r="H26" s="26">
        <f t="shared" si="0"/>
        <v>18.24</v>
      </c>
      <c r="I26" s="26">
        <f t="shared" si="2"/>
        <v>650</v>
      </c>
      <c r="J26" s="26">
        <f t="shared" si="3"/>
        <v>28.3</v>
      </c>
    </row>
    <row r="27" spans="1:10" s="12" customFormat="1" ht="14.25" customHeight="1" hidden="1">
      <c r="A27" s="24"/>
      <c r="B27" s="25" t="s">
        <v>81</v>
      </c>
      <c r="C27" s="70">
        <v>1030</v>
      </c>
      <c r="D27" s="27">
        <v>42.11</v>
      </c>
      <c r="E27" s="26">
        <f t="shared" si="1"/>
        <v>43.37</v>
      </c>
      <c r="F27" s="70">
        <v>1560</v>
      </c>
      <c r="G27" s="26">
        <v>44.38</v>
      </c>
      <c r="H27" s="26">
        <f t="shared" si="0"/>
        <v>69.23</v>
      </c>
      <c r="I27" s="26">
        <f t="shared" si="2"/>
        <v>2590</v>
      </c>
      <c r="J27" s="26">
        <f t="shared" si="3"/>
        <v>112.6</v>
      </c>
    </row>
    <row r="28" spans="1:10" s="12" customFormat="1" ht="14.25" customHeight="1" hidden="1">
      <c r="A28" s="24"/>
      <c r="B28" s="25" t="s">
        <v>82</v>
      </c>
      <c r="C28" s="70">
        <v>670</v>
      </c>
      <c r="D28" s="27">
        <v>42.11</v>
      </c>
      <c r="E28" s="26">
        <f t="shared" si="1"/>
        <v>28.21</v>
      </c>
      <c r="F28" s="70">
        <v>1110</v>
      </c>
      <c r="G28" s="26">
        <v>44.38</v>
      </c>
      <c r="H28" s="26">
        <f t="shared" si="0"/>
        <v>49.26</v>
      </c>
      <c r="I28" s="26">
        <f t="shared" si="2"/>
        <v>1780</v>
      </c>
      <c r="J28" s="26">
        <f t="shared" si="3"/>
        <v>77.47</v>
      </c>
    </row>
    <row r="29" spans="1:10" s="12" customFormat="1" ht="14.25" customHeight="1" hidden="1">
      <c r="A29" s="24"/>
      <c r="B29" s="25" t="s">
        <v>83</v>
      </c>
      <c r="C29" s="70">
        <v>1220</v>
      </c>
      <c r="D29" s="27">
        <v>42.11</v>
      </c>
      <c r="E29" s="26">
        <f t="shared" si="1"/>
        <v>51.37</v>
      </c>
      <c r="F29" s="70">
        <v>2010</v>
      </c>
      <c r="G29" s="26">
        <v>44.38</v>
      </c>
      <c r="H29" s="26">
        <f t="shared" si="0"/>
        <v>89.2</v>
      </c>
      <c r="I29" s="26">
        <f t="shared" si="2"/>
        <v>3230</v>
      </c>
      <c r="J29" s="26">
        <f t="shared" si="3"/>
        <v>140.57</v>
      </c>
    </row>
    <row r="30" spans="1:10" s="12" customFormat="1" ht="14.25" customHeight="1" hidden="1">
      <c r="A30" s="24"/>
      <c r="B30" s="25" t="s">
        <v>84</v>
      </c>
      <c r="C30" s="70">
        <v>925</v>
      </c>
      <c r="D30" s="27">
        <v>42.11</v>
      </c>
      <c r="E30" s="26">
        <f t="shared" si="1"/>
        <v>38.95</v>
      </c>
      <c r="F30" s="70">
        <v>1315</v>
      </c>
      <c r="G30" s="26">
        <v>44.38</v>
      </c>
      <c r="H30" s="26">
        <f t="shared" si="0"/>
        <v>58.36</v>
      </c>
      <c r="I30" s="26">
        <f t="shared" si="2"/>
        <v>2240</v>
      </c>
      <c r="J30" s="26">
        <f t="shared" si="3"/>
        <v>97.31</v>
      </c>
    </row>
    <row r="31" spans="1:10" s="12" customFormat="1" ht="14.25" customHeight="1" hidden="1">
      <c r="A31" s="24"/>
      <c r="B31" s="25" t="s">
        <v>85</v>
      </c>
      <c r="C31" s="70">
        <v>1405</v>
      </c>
      <c r="D31" s="27">
        <v>42.11</v>
      </c>
      <c r="E31" s="26">
        <f t="shared" si="1"/>
        <v>59.16</v>
      </c>
      <c r="F31" s="70">
        <v>1685</v>
      </c>
      <c r="G31" s="26">
        <v>44.38</v>
      </c>
      <c r="H31" s="26">
        <f t="shared" si="0"/>
        <v>74.78</v>
      </c>
      <c r="I31" s="26">
        <f t="shared" si="2"/>
        <v>3090</v>
      </c>
      <c r="J31" s="26">
        <f t="shared" si="3"/>
        <v>133.94</v>
      </c>
    </row>
    <row r="32" spans="1:10" s="12" customFormat="1" ht="14.25" customHeight="1" hidden="1">
      <c r="A32" s="24"/>
      <c r="B32" s="25" t="s">
        <v>86</v>
      </c>
      <c r="C32" s="70">
        <v>145</v>
      </c>
      <c r="D32" s="27">
        <v>42.11</v>
      </c>
      <c r="E32" s="26">
        <f t="shared" si="1"/>
        <v>6.11</v>
      </c>
      <c r="F32" s="70">
        <v>315</v>
      </c>
      <c r="G32" s="26">
        <v>44.38</v>
      </c>
      <c r="H32" s="26">
        <f t="shared" si="0"/>
        <v>13.98</v>
      </c>
      <c r="I32" s="26">
        <f t="shared" si="2"/>
        <v>460</v>
      </c>
      <c r="J32" s="26">
        <f t="shared" si="3"/>
        <v>20.09</v>
      </c>
    </row>
    <row r="33" spans="1:10" s="12" customFormat="1" ht="14.25" customHeight="1" hidden="1">
      <c r="A33" s="24"/>
      <c r="B33" s="25" t="s">
        <v>87</v>
      </c>
      <c r="C33" s="70">
        <v>396</v>
      </c>
      <c r="D33" s="27">
        <v>42.11</v>
      </c>
      <c r="E33" s="26">
        <f t="shared" si="1"/>
        <v>16.68</v>
      </c>
      <c r="F33" s="70">
        <v>554</v>
      </c>
      <c r="G33" s="26">
        <v>44.38</v>
      </c>
      <c r="H33" s="26">
        <f t="shared" si="0"/>
        <v>24.59</v>
      </c>
      <c r="I33" s="26">
        <f t="shared" si="2"/>
        <v>950</v>
      </c>
      <c r="J33" s="26">
        <f t="shared" si="3"/>
        <v>41.27</v>
      </c>
    </row>
    <row r="34" spans="1:10" s="12" customFormat="1" ht="14.25" customHeight="1" hidden="1">
      <c r="A34" s="24"/>
      <c r="B34" s="25" t="s">
        <v>88</v>
      </c>
      <c r="C34" s="70">
        <v>720</v>
      </c>
      <c r="D34" s="26">
        <f>63.41</f>
        <v>63.41</v>
      </c>
      <c r="E34" s="26">
        <f t="shared" si="1"/>
        <v>45.66</v>
      </c>
      <c r="F34" s="70">
        <v>1112</v>
      </c>
      <c r="G34" s="26">
        <v>66.83</v>
      </c>
      <c r="H34" s="26">
        <f t="shared" si="0"/>
        <v>74.31</v>
      </c>
      <c r="I34" s="26">
        <f t="shared" si="2"/>
        <v>1832</v>
      </c>
      <c r="J34" s="26">
        <f t="shared" si="3"/>
        <v>119.97</v>
      </c>
    </row>
    <row r="35" spans="1:10" s="12" customFormat="1" ht="14.25" customHeight="1" hidden="1">
      <c r="A35" s="24"/>
      <c r="B35" s="25" t="s">
        <v>89</v>
      </c>
      <c r="C35" s="70">
        <v>2150</v>
      </c>
      <c r="D35" s="26">
        <f>63.41</f>
        <v>63.41</v>
      </c>
      <c r="E35" s="26">
        <f t="shared" si="1"/>
        <v>136.33</v>
      </c>
      <c r="F35" s="70">
        <v>2150</v>
      </c>
      <c r="G35" s="26">
        <v>66.83</v>
      </c>
      <c r="H35" s="26">
        <f t="shared" si="0"/>
        <v>143.68</v>
      </c>
      <c r="I35" s="26">
        <f t="shared" si="2"/>
        <v>4300</v>
      </c>
      <c r="J35" s="26">
        <f t="shared" si="3"/>
        <v>280.01</v>
      </c>
    </row>
    <row r="36" spans="1:10" s="12" customFormat="1" ht="14.25" customHeight="1" hidden="1">
      <c r="A36" s="24"/>
      <c r="B36" s="25" t="s">
        <v>90</v>
      </c>
      <c r="C36" s="70">
        <v>930</v>
      </c>
      <c r="D36" s="26">
        <f>63.41</f>
        <v>63.41</v>
      </c>
      <c r="E36" s="26">
        <f t="shared" si="1"/>
        <v>58.97</v>
      </c>
      <c r="F36" s="70">
        <v>1340</v>
      </c>
      <c r="G36" s="26">
        <v>66.83</v>
      </c>
      <c r="H36" s="26">
        <f t="shared" si="0"/>
        <v>89.55</v>
      </c>
      <c r="I36" s="26">
        <f t="shared" si="2"/>
        <v>2270</v>
      </c>
      <c r="J36" s="26">
        <f t="shared" si="3"/>
        <v>148.52</v>
      </c>
    </row>
    <row r="37" spans="1:10" s="12" customFormat="1" ht="14.25" customHeight="1" hidden="1">
      <c r="A37" s="24"/>
      <c r="B37" s="25" t="s">
        <v>91</v>
      </c>
      <c r="C37" s="70">
        <v>1090</v>
      </c>
      <c r="D37" s="26">
        <f>63.41</f>
        <v>63.41</v>
      </c>
      <c r="E37" s="26">
        <f t="shared" si="1"/>
        <v>69.12</v>
      </c>
      <c r="F37" s="70">
        <v>1524</v>
      </c>
      <c r="G37" s="26">
        <v>66.83</v>
      </c>
      <c r="H37" s="26">
        <f t="shared" si="0"/>
        <v>101.85</v>
      </c>
      <c r="I37" s="26">
        <f t="shared" si="2"/>
        <v>2614</v>
      </c>
      <c r="J37" s="26">
        <f t="shared" si="3"/>
        <v>170.97</v>
      </c>
    </row>
    <row r="38" spans="1:10" s="12" customFormat="1" ht="14.25" customHeight="1" hidden="1">
      <c r="A38" s="24"/>
      <c r="B38" s="25" t="s">
        <v>53</v>
      </c>
      <c r="C38" s="70">
        <v>1270</v>
      </c>
      <c r="D38" s="27">
        <v>42.11</v>
      </c>
      <c r="E38" s="26">
        <f t="shared" si="1"/>
        <v>53.48</v>
      </c>
      <c r="F38" s="70">
        <v>1050</v>
      </c>
      <c r="G38" s="26">
        <v>44.38</v>
      </c>
      <c r="H38" s="26">
        <f t="shared" si="0"/>
        <v>46.6</v>
      </c>
      <c r="I38" s="26">
        <f t="shared" si="2"/>
        <v>2320</v>
      </c>
      <c r="J38" s="26">
        <f t="shared" si="3"/>
        <v>100.08</v>
      </c>
    </row>
    <row r="39" spans="1:10" s="12" customFormat="1" ht="14.25" customHeight="1" hidden="1">
      <c r="A39" s="24"/>
      <c r="B39" s="58" t="s">
        <v>131</v>
      </c>
      <c r="C39" s="70">
        <v>1108</v>
      </c>
      <c r="D39" s="27">
        <v>42.11</v>
      </c>
      <c r="E39" s="26">
        <f>C39*D39/1000</f>
        <v>46.66</v>
      </c>
      <c r="F39" s="70">
        <v>1464</v>
      </c>
      <c r="G39" s="26">
        <v>44.38</v>
      </c>
      <c r="H39" s="26">
        <f>F39*G39/1000</f>
        <v>64.97</v>
      </c>
      <c r="I39" s="26">
        <f>C39+F39</f>
        <v>2572</v>
      </c>
      <c r="J39" s="26">
        <f>E39+H39</f>
        <v>111.63</v>
      </c>
    </row>
    <row r="40" spans="1:10" s="12" customFormat="1" ht="30" customHeight="1">
      <c r="A40" s="24">
        <v>4</v>
      </c>
      <c r="B40" s="25" t="s">
        <v>124</v>
      </c>
      <c r="C40" s="70">
        <f>SUM(C41:C57)</f>
        <v>1084.16</v>
      </c>
      <c r="D40" s="26">
        <f>E40/C40*1000</f>
        <v>49.58</v>
      </c>
      <c r="E40" s="70">
        <f>SUM(E41:E57)</f>
        <v>53.75</v>
      </c>
      <c r="F40" s="70">
        <f>SUM(F41:F57)</f>
        <v>912.46</v>
      </c>
      <c r="G40" s="26">
        <f>H40/F40*1000</f>
        <v>53.76</v>
      </c>
      <c r="H40" s="70">
        <f>SUM(H41:H57)</f>
        <v>49.05</v>
      </c>
      <c r="I40" s="70">
        <f>F40+C40</f>
        <v>1996.62</v>
      </c>
      <c r="J40" s="70">
        <f>E40+H40</f>
        <v>102.8</v>
      </c>
    </row>
    <row r="41" spans="1:10" s="12" customFormat="1" ht="14.25" customHeight="1" hidden="1">
      <c r="A41" s="24"/>
      <c r="B41" s="25" t="s">
        <v>4</v>
      </c>
      <c r="C41" s="70">
        <v>59.5</v>
      </c>
      <c r="D41" s="27">
        <v>42.11</v>
      </c>
      <c r="E41" s="26">
        <f t="shared" si="1"/>
        <v>2.51</v>
      </c>
      <c r="F41" s="70">
        <v>75.04</v>
      </c>
      <c r="G41" s="26">
        <v>44.38</v>
      </c>
      <c r="H41" s="26">
        <f t="shared" si="0"/>
        <v>3.33</v>
      </c>
      <c r="I41" s="26">
        <f>C41+F41</f>
        <v>134.54</v>
      </c>
      <c r="J41" s="26">
        <f>E41+H41</f>
        <v>5.84</v>
      </c>
    </row>
    <row r="42" spans="1:10" s="12" customFormat="1" ht="14.25" customHeight="1" hidden="1">
      <c r="A42" s="28"/>
      <c r="B42" s="68" t="s">
        <v>39</v>
      </c>
      <c r="C42" s="70"/>
      <c r="D42" s="27"/>
      <c r="E42" s="70"/>
      <c r="F42" s="70"/>
      <c r="G42" s="26"/>
      <c r="H42" s="70"/>
      <c r="I42" s="70"/>
      <c r="J42" s="70"/>
    </row>
    <row r="43" spans="1:10" s="12" customFormat="1" ht="14.25" customHeight="1" hidden="1">
      <c r="A43" s="30"/>
      <c r="B43" s="69" t="s">
        <v>38</v>
      </c>
      <c r="C43" s="70">
        <v>44.23</v>
      </c>
      <c r="D43" s="27">
        <v>42.11</v>
      </c>
      <c r="E43" s="27">
        <f t="shared" si="1"/>
        <v>1.86</v>
      </c>
      <c r="F43" s="70">
        <v>33.95</v>
      </c>
      <c r="G43" s="26">
        <v>44.38</v>
      </c>
      <c r="H43" s="27">
        <f t="shared" si="0"/>
        <v>1.51</v>
      </c>
      <c r="I43" s="26">
        <f aca="true" t="shared" si="4" ref="I43:I57">C43+F43</f>
        <v>78.18</v>
      </c>
      <c r="J43" s="26">
        <f aca="true" t="shared" si="5" ref="J43:J57">E43+H43</f>
        <v>3.37</v>
      </c>
    </row>
    <row r="44" spans="1:10" s="12" customFormat="1" ht="14.25" customHeight="1" hidden="1">
      <c r="A44" s="30"/>
      <c r="B44" s="69" t="s">
        <v>40</v>
      </c>
      <c r="C44" s="70">
        <v>71.47</v>
      </c>
      <c r="D44" s="27">
        <v>42.11</v>
      </c>
      <c r="E44" s="27">
        <f t="shared" si="1"/>
        <v>3.01</v>
      </c>
      <c r="F44" s="70">
        <v>51.76</v>
      </c>
      <c r="G44" s="26">
        <v>44.38</v>
      </c>
      <c r="H44" s="27">
        <f t="shared" si="0"/>
        <v>2.3</v>
      </c>
      <c r="I44" s="26">
        <f t="shared" si="4"/>
        <v>123.23</v>
      </c>
      <c r="J44" s="26">
        <f t="shared" si="5"/>
        <v>5.31</v>
      </c>
    </row>
    <row r="45" spans="1:10" s="12" customFormat="1" ht="14.25" customHeight="1" hidden="1">
      <c r="A45" s="30"/>
      <c r="B45" s="31" t="s">
        <v>63</v>
      </c>
      <c r="C45" s="70">
        <v>36.64</v>
      </c>
      <c r="D45" s="27">
        <v>42.11</v>
      </c>
      <c r="E45" s="27">
        <f t="shared" si="1"/>
        <v>1.54</v>
      </c>
      <c r="F45" s="70">
        <v>58.78</v>
      </c>
      <c r="G45" s="26">
        <v>44.38</v>
      </c>
      <c r="H45" s="27">
        <f t="shared" si="0"/>
        <v>2.61</v>
      </c>
      <c r="I45" s="26">
        <f t="shared" si="4"/>
        <v>95.42</v>
      </c>
      <c r="J45" s="26">
        <f t="shared" si="5"/>
        <v>4.15</v>
      </c>
    </row>
    <row r="46" spans="1:10" s="12" customFormat="1" ht="21" customHeight="1" hidden="1">
      <c r="A46" s="30"/>
      <c r="B46" s="31" t="s">
        <v>92</v>
      </c>
      <c r="C46" s="70">
        <v>187.34</v>
      </c>
      <c r="D46" s="27">
        <v>42.11</v>
      </c>
      <c r="E46" s="27">
        <f t="shared" si="1"/>
        <v>7.89</v>
      </c>
      <c r="F46" s="70">
        <v>147.99</v>
      </c>
      <c r="G46" s="26">
        <v>44.38</v>
      </c>
      <c r="H46" s="27">
        <f t="shared" si="0"/>
        <v>6.57</v>
      </c>
      <c r="I46" s="26">
        <f t="shared" si="4"/>
        <v>335.33</v>
      </c>
      <c r="J46" s="26">
        <f t="shared" si="5"/>
        <v>14.46</v>
      </c>
    </row>
    <row r="47" spans="1:10" s="12" customFormat="1" ht="25.5" customHeight="1" hidden="1">
      <c r="A47" s="28"/>
      <c r="B47" s="31" t="s">
        <v>93</v>
      </c>
      <c r="C47" s="70"/>
      <c r="D47" s="27"/>
      <c r="E47" s="70"/>
      <c r="F47" s="70"/>
      <c r="G47" s="26"/>
      <c r="H47" s="70"/>
      <c r="I47" s="70"/>
      <c r="J47" s="70"/>
    </row>
    <row r="48" spans="1:10" s="12" customFormat="1" ht="23.25" customHeight="1" hidden="1">
      <c r="A48" s="28"/>
      <c r="B48" s="69" t="s">
        <v>94</v>
      </c>
      <c r="C48" s="70">
        <v>63.2</v>
      </c>
      <c r="D48" s="27">
        <v>42.11</v>
      </c>
      <c r="E48" s="27">
        <f t="shared" si="1"/>
        <v>2.66</v>
      </c>
      <c r="F48" s="70">
        <v>48.46</v>
      </c>
      <c r="G48" s="26">
        <v>44.38</v>
      </c>
      <c r="H48" s="27">
        <f t="shared" si="0"/>
        <v>2.15</v>
      </c>
      <c r="I48" s="26">
        <f t="shared" si="4"/>
        <v>111.66</v>
      </c>
      <c r="J48" s="26">
        <f t="shared" si="5"/>
        <v>4.81</v>
      </c>
    </row>
    <row r="49" spans="1:10" s="12" customFormat="1" ht="24" customHeight="1" hidden="1">
      <c r="A49" s="28"/>
      <c r="B49" s="69" t="s">
        <v>95</v>
      </c>
      <c r="C49" s="70">
        <v>9.29</v>
      </c>
      <c r="D49" s="27">
        <v>42.11</v>
      </c>
      <c r="E49" s="27">
        <f t="shared" si="1"/>
        <v>0.39</v>
      </c>
      <c r="F49" s="70">
        <v>25.77</v>
      </c>
      <c r="G49" s="26">
        <v>44.38</v>
      </c>
      <c r="H49" s="27">
        <f t="shared" si="0"/>
        <v>1.14</v>
      </c>
      <c r="I49" s="26">
        <f t="shared" si="4"/>
        <v>35.06</v>
      </c>
      <c r="J49" s="26">
        <f t="shared" si="5"/>
        <v>1.53</v>
      </c>
    </row>
    <row r="50" spans="1:10" s="12" customFormat="1" ht="21.75" customHeight="1" hidden="1">
      <c r="A50" s="28"/>
      <c r="B50" s="69" t="s">
        <v>96</v>
      </c>
      <c r="C50" s="70">
        <v>14.11</v>
      </c>
      <c r="D50" s="27">
        <v>42.11</v>
      </c>
      <c r="E50" s="27">
        <f t="shared" si="1"/>
        <v>0.59</v>
      </c>
      <c r="F50" s="70">
        <v>11.97</v>
      </c>
      <c r="G50" s="26">
        <v>44.38</v>
      </c>
      <c r="H50" s="27">
        <f t="shared" si="0"/>
        <v>0.53</v>
      </c>
      <c r="I50" s="26">
        <f t="shared" si="4"/>
        <v>26.08</v>
      </c>
      <c r="J50" s="26">
        <f t="shared" si="5"/>
        <v>1.12</v>
      </c>
    </row>
    <row r="51" spans="1:10" s="12" customFormat="1" ht="24" customHeight="1" hidden="1">
      <c r="A51" s="28"/>
      <c r="B51" s="69" t="s">
        <v>97</v>
      </c>
      <c r="C51" s="70"/>
      <c r="D51" s="27"/>
      <c r="E51" s="27"/>
      <c r="F51" s="70"/>
      <c r="G51" s="26"/>
      <c r="H51" s="27"/>
      <c r="I51" s="26"/>
      <c r="J51" s="26"/>
    </row>
    <row r="52" spans="1:10" s="12" customFormat="1" ht="19.5" customHeight="1" hidden="1">
      <c r="A52" s="28"/>
      <c r="B52" s="69" t="s">
        <v>98</v>
      </c>
      <c r="C52" s="70">
        <v>14.48</v>
      </c>
      <c r="D52" s="27">
        <v>42.11</v>
      </c>
      <c r="E52" s="27">
        <f t="shared" si="1"/>
        <v>0.61</v>
      </c>
      <c r="F52" s="70">
        <v>3.59</v>
      </c>
      <c r="G52" s="26">
        <v>44.38</v>
      </c>
      <c r="H52" s="27">
        <f t="shared" si="0"/>
        <v>0.16</v>
      </c>
      <c r="I52" s="26">
        <f t="shared" si="4"/>
        <v>18.07</v>
      </c>
      <c r="J52" s="26">
        <f t="shared" si="5"/>
        <v>0.77</v>
      </c>
    </row>
    <row r="53" spans="1:10" s="12" customFormat="1" ht="19.5" customHeight="1" hidden="1">
      <c r="A53" s="28"/>
      <c r="B53" s="69" t="s">
        <v>148</v>
      </c>
      <c r="C53" s="70">
        <v>3.98</v>
      </c>
      <c r="D53" s="27">
        <v>42.11</v>
      </c>
      <c r="E53" s="27">
        <f t="shared" si="1"/>
        <v>0.17</v>
      </c>
      <c r="F53" s="70">
        <v>8.09</v>
      </c>
      <c r="G53" s="26">
        <v>44.38</v>
      </c>
      <c r="H53" s="27">
        <f t="shared" si="0"/>
        <v>0.36</v>
      </c>
      <c r="I53" s="26">
        <f t="shared" si="4"/>
        <v>12.07</v>
      </c>
      <c r="J53" s="26">
        <f t="shared" si="5"/>
        <v>0.53</v>
      </c>
    </row>
    <row r="54" spans="1:10" s="12" customFormat="1" ht="22.5" customHeight="1" hidden="1">
      <c r="A54" s="28"/>
      <c r="B54" s="69" t="s">
        <v>99</v>
      </c>
      <c r="C54" s="70">
        <v>56.82</v>
      </c>
      <c r="D54" s="26">
        <f>63.41</f>
        <v>63.41</v>
      </c>
      <c r="E54" s="27">
        <f t="shared" si="1"/>
        <v>3.6</v>
      </c>
      <c r="F54" s="70">
        <v>9.17</v>
      </c>
      <c r="G54" s="27">
        <v>66.83</v>
      </c>
      <c r="H54" s="27">
        <f t="shared" si="0"/>
        <v>0.61</v>
      </c>
      <c r="I54" s="26">
        <f t="shared" si="4"/>
        <v>65.99</v>
      </c>
      <c r="J54" s="26">
        <f t="shared" si="5"/>
        <v>4.21</v>
      </c>
    </row>
    <row r="55" spans="1:10" s="12" customFormat="1" ht="24.75" customHeight="1" hidden="1">
      <c r="A55" s="28"/>
      <c r="B55" s="31" t="s">
        <v>100</v>
      </c>
      <c r="C55" s="70">
        <v>93.94</v>
      </c>
      <c r="D55" s="26">
        <f>63.41</f>
        <v>63.41</v>
      </c>
      <c r="E55" s="27">
        <f t="shared" si="1"/>
        <v>5.96</v>
      </c>
      <c r="F55" s="70">
        <v>101.34</v>
      </c>
      <c r="G55" s="27">
        <v>66.83</v>
      </c>
      <c r="H55" s="27">
        <f t="shared" si="0"/>
        <v>6.77</v>
      </c>
      <c r="I55" s="26">
        <f t="shared" si="4"/>
        <v>195.28</v>
      </c>
      <c r="J55" s="26">
        <f t="shared" si="5"/>
        <v>12.73</v>
      </c>
    </row>
    <row r="56" spans="1:10" s="12" customFormat="1" ht="31.5" customHeight="1" hidden="1">
      <c r="A56" s="28"/>
      <c r="B56" s="31" t="s">
        <v>101</v>
      </c>
      <c r="C56" s="70">
        <v>199.57</v>
      </c>
      <c r="D56" s="27">
        <v>42.11</v>
      </c>
      <c r="E56" s="27">
        <f t="shared" si="1"/>
        <v>8.4</v>
      </c>
      <c r="F56" s="70">
        <v>65.79</v>
      </c>
      <c r="G56" s="26">
        <v>44.38</v>
      </c>
      <c r="H56" s="27">
        <f t="shared" si="0"/>
        <v>2.92</v>
      </c>
      <c r="I56" s="26">
        <f t="shared" si="4"/>
        <v>265.36</v>
      </c>
      <c r="J56" s="26">
        <f t="shared" si="5"/>
        <v>11.32</v>
      </c>
    </row>
    <row r="57" spans="1:10" s="12" customFormat="1" ht="26.25" customHeight="1" hidden="1">
      <c r="A57" s="28"/>
      <c r="B57" s="31" t="s">
        <v>102</v>
      </c>
      <c r="C57" s="70">
        <v>229.59</v>
      </c>
      <c r="D57" s="26">
        <f>63.41</f>
        <v>63.41</v>
      </c>
      <c r="E57" s="27">
        <f t="shared" si="1"/>
        <v>14.56</v>
      </c>
      <c r="F57" s="70">
        <v>270.76</v>
      </c>
      <c r="G57" s="27">
        <v>66.83</v>
      </c>
      <c r="H57" s="27">
        <f t="shared" si="0"/>
        <v>18.09</v>
      </c>
      <c r="I57" s="26">
        <f t="shared" si="4"/>
        <v>500.35</v>
      </c>
      <c r="J57" s="26">
        <f t="shared" si="5"/>
        <v>32.65</v>
      </c>
    </row>
    <row r="58" spans="1:10" s="12" customFormat="1" ht="18" customHeight="1" hidden="1">
      <c r="A58" s="24"/>
      <c r="B58" s="25" t="s">
        <v>57</v>
      </c>
      <c r="C58" s="70">
        <v>0</v>
      </c>
      <c r="D58" s="26">
        <v>0</v>
      </c>
      <c r="E58" s="26">
        <f t="shared" si="1"/>
        <v>0</v>
      </c>
      <c r="F58" s="70">
        <v>0</v>
      </c>
      <c r="G58" s="27">
        <f>D58</f>
        <v>0</v>
      </c>
      <c r="H58" s="26">
        <f aca="true" t="shared" si="6" ref="H58:H70">F58*G58/1000</f>
        <v>0</v>
      </c>
      <c r="I58" s="26">
        <f aca="true" t="shared" si="7" ref="I58:I70">C58+F58</f>
        <v>0</v>
      </c>
      <c r="J58" s="26">
        <f aca="true" t="shared" si="8" ref="J58:J70">E58+H58</f>
        <v>0</v>
      </c>
    </row>
    <row r="59" spans="1:10" s="12" customFormat="1" ht="23.25" customHeight="1">
      <c r="A59" s="24">
        <v>5</v>
      </c>
      <c r="B59" s="25" t="s">
        <v>58</v>
      </c>
      <c r="C59" s="70">
        <v>0</v>
      </c>
      <c r="D59" s="26">
        <v>0</v>
      </c>
      <c r="E59" s="26">
        <f aca="true" t="shared" si="9" ref="E59:E70">C59*D59/1000</f>
        <v>0</v>
      </c>
      <c r="F59" s="70">
        <v>0</v>
      </c>
      <c r="G59" s="26">
        <v>0</v>
      </c>
      <c r="H59" s="26">
        <f t="shared" si="6"/>
        <v>0</v>
      </c>
      <c r="I59" s="26">
        <f t="shared" si="7"/>
        <v>0</v>
      </c>
      <c r="J59" s="26">
        <f t="shared" si="8"/>
        <v>0</v>
      </c>
    </row>
    <row r="60" spans="1:10" s="12" customFormat="1" ht="18.75" customHeight="1">
      <c r="A60" s="24">
        <v>6</v>
      </c>
      <c r="B60" s="25" t="s">
        <v>103</v>
      </c>
      <c r="C60" s="70">
        <v>0</v>
      </c>
      <c r="D60" s="26">
        <v>0</v>
      </c>
      <c r="E60" s="26">
        <f t="shared" si="9"/>
        <v>0</v>
      </c>
      <c r="F60" s="70">
        <v>0</v>
      </c>
      <c r="G60" s="26">
        <v>0</v>
      </c>
      <c r="H60" s="26">
        <f t="shared" si="6"/>
        <v>0</v>
      </c>
      <c r="I60" s="26">
        <f t="shared" si="7"/>
        <v>0</v>
      </c>
      <c r="J60" s="26">
        <f t="shared" si="8"/>
        <v>0</v>
      </c>
    </row>
    <row r="61" spans="1:10" s="12" customFormat="1" ht="27.75" customHeight="1">
      <c r="A61" s="24">
        <v>7</v>
      </c>
      <c r="B61" s="25" t="s">
        <v>125</v>
      </c>
      <c r="C61" s="70">
        <f>C62+C63+C64</f>
        <v>3535.81</v>
      </c>
      <c r="D61" s="26">
        <f>E61/C61*1000</f>
        <v>42.4</v>
      </c>
      <c r="E61" s="70">
        <f>E62+E63+E64</f>
        <v>149.93</v>
      </c>
      <c r="F61" s="70">
        <f>F62+F63+F64</f>
        <v>3535.81</v>
      </c>
      <c r="G61" s="26">
        <f>H61/F61*1000</f>
        <v>44.69</v>
      </c>
      <c r="H61" s="70">
        <f>H62+H63+H64</f>
        <v>158</v>
      </c>
      <c r="I61" s="70">
        <f>I62+I63+I64</f>
        <v>7071.62</v>
      </c>
      <c r="J61" s="70">
        <f>J62+J63+J64</f>
        <v>307.93</v>
      </c>
    </row>
    <row r="62" spans="1:10" s="12" customFormat="1" ht="14.25" customHeight="1" hidden="1">
      <c r="A62" s="24"/>
      <c r="B62" s="25" t="s">
        <v>104</v>
      </c>
      <c r="C62" s="70">
        <v>29.1</v>
      </c>
      <c r="D62" s="26">
        <v>42.11</v>
      </c>
      <c r="E62" s="26">
        <f t="shared" si="9"/>
        <v>1.23</v>
      </c>
      <c r="F62" s="70">
        <v>29.1</v>
      </c>
      <c r="G62" s="26">
        <v>44.38</v>
      </c>
      <c r="H62" s="26">
        <f t="shared" si="6"/>
        <v>1.29</v>
      </c>
      <c r="I62" s="26">
        <f t="shared" si="7"/>
        <v>58.2</v>
      </c>
      <c r="J62" s="26">
        <f t="shared" si="8"/>
        <v>2.52</v>
      </c>
    </row>
    <row r="63" spans="1:10" s="12" customFormat="1" ht="14.25" customHeight="1" hidden="1">
      <c r="A63" s="117"/>
      <c r="B63" s="121" t="s">
        <v>105</v>
      </c>
      <c r="C63" s="70">
        <v>3458.36</v>
      </c>
      <c r="D63" s="26">
        <v>42.11</v>
      </c>
      <c r="E63" s="26">
        <f t="shared" si="9"/>
        <v>145.63</v>
      </c>
      <c r="F63" s="70">
        <v>3458.36</v>
      </c>
      <c r="G63" s="26">
        <v>44.38</v>
      </c>
      <c r="H63" s="26">
        <f t="shared" si="6"/>
        <v>153.48</v>
      </c>
      <c r="I63" s="26">
        <f t="shared" si="7"/>
        <v>6916.72</v>
      </c>
      <c r="J63" s="26">
        <f t="shared" si="8"/>
        <v>299.11</v>
      </c>
    </row>
    <row r="64" spans="1:10" s="12" customFormat="1" ht="14.25" customHeight="1" hidden="1">
      <c r="A64" s="118"/>
      <c r="B64" s="122"/>
      <c r="C64" s="70">
        <v>48.35</v>
      </c>
      <c r="D64" s="26">
        <f>63.41</f>
        <v>63.41</v>
      </c>
      <c r="E64" s="26">
        <f t="shared" si="9"/>
        <v>3.07</v>
      </c>
      <c r="F64" s="70">
        <v>48.35</v>
      </c>
      <c r="G64" s="27">
        <v>66.83</v>
      </c>
      <c r="H64" s="26">
        <f>F64*G64/1000</f>
        <v>3.23</v>
      </c>
      <c r="I64" s="26">
        <f>C64+F64</f>
        <v>96.7</v>
      </c>
      <c r="J64" s="26">
        <f>E64+H64</f>
        <v>6.3</v>
      </c>
    </row>
    <row r="65" spans="1:10" s="12" customFormat="1" ht="21" customHeight="1">
      <c r="A65" s="24">
        <v>8</v>
      </c>
      <c r="B65" s="25" t="s">
        <v>106</v>
      </c>
      <c r="C65" s="70">
        <v>0</v>
      </c>
      <c r="D65" s="26">
        <v>0</v>
      </c>
      <c r="E65" s="26">
        <f t="shared" si="9"/>
        <v>0</v>
      </c>
      <c r="F65" s="26">
        <v>0</v>
      </c>
      <c r="G65" s="26">
        <v>0</v>
      </c>
      <c r="H65" s="26">
        <f t="shared" si="6"/>
        <v>0</v>
      </c>
      <c r="I65" s="26">
        <f t="shared" si="7"/>
        <v>0</v>
      </c>
      <c r="J65" s="26">
        <f t="shared" si="8"/>
        <v>0</v>
      </c>
    </row>
    <row r="66" spans="1:10" s="12" customFormat="1" ht="14.25" customHeight="1" hidden="1">
      <c r="A66" s="24"/>
      <c r="B66" s="25" t="s">
        <v>6</v>
      </c>
      <c r="C66" s="70">
        <v>0</v>
      </c>
      <c r="D66" s="26">
        <v>0</v>
      </c>
      <c r="E66" s="26">
        <f t="shared" si="9"/>
        <v>0</v>
      </c>
      <c r="F66" s="26">
        <v>0</v>
      </c>
      <c r="G66" s="26">
        <v>0</v>
      </c>
      <c r="H66" s="26">
        <f t="shared" si="6"/>
        <v>0</v>
      </c>
      <c r="I66" s="26">
        <f t="shared" si="7"/>
        <v>0</v>
      </c>
      <c r="J66" s="26">
        <f t="shared" si="8"/>
        <v>0</v>
      </c>
    </row>
    <row r="67" spans="1:10" s="12" customFormat="1" ht="14.25" customHeight="1" hidden="1">
      <c r="A67" s="24"/>
      <c r="B67" s="25" t="s">
        <v>107</v>
      </c>
      <c r="C67" s="70">
        <v>0</v>
      </c>
      <c r="D67" s="26">
        <v>0</v>
      </c>
      <c r="E67" s="26">
        <f t="shared" si="9"/>
        <v>0</v>
      </c>
      <c r="F67" s="26">
        <v>0</v>
      </c>
      <c r="G67" s="26">
        <v>0</v>
      </c>
      <c r="H67" s="26">
        <f t="shared" si="6"/>
        <v>0</v>
      </c>
      <c r="I67" s="26">
        <f t="shared" si="7"/>
        <v>0</v>
      </c>
      <c r="J67" s="26">
        <f t="shared" si="8"/>
        <v>0</v>
      </c>
    </row>
    <row r="68" spans="1:10" s="12" customFormat="1" ht="31.5" customHeight="1">
      <c r="A68" s="24">
        <v>9</v>
      </c>
      <c r="B68" s="25" t="s">
        <v>47</v>
      </c>
      <c r="C68" s="70">
        <f>C69+C70</f>
        <v>632</v>
      </c>
      <c r="D68" s="26">
        <v>42.11</v>
      </c>
      <c r="E68" s="70">
        <f>E69+E70</f>
        <v>26.61</v>
      </c>
      <c r="F68" s="70">
        <f>F69+F70</f>
        <v>519.92</v>
      </c>
      <c r="G68" s="26">
        <v>44.38</v>
      </c>
      <c r="H68" s="70">
        <f>H69+H70</f>
        <v>23.07</v>
      </c>
      <c r="I68" s="70">
        <f>I69+I70</f>
        <v>1151.92</v>
      </c>
      <c r="J68" s="70">
        <f>J69+J70</f>
        <v>49.68</v>
      </c>
    </row>
    <row r="69" spans="1:10" s="12" customFormat="1" ht="26.25" customHeight="1" hidden="1">
      <c r="A69" s="24"/>
      <c r="B69" s="25" t="s">
        <v>47</v>
      </c>
      <c r="C69" s="70">
        <v>180</v>
      </c>
      <c r="D69" s="26">
        <v>42.11</v>
      </c>
      <c r="E69" s="26">
        <f>C69*D69/1000</f>
        <v>7.58</v>
      </c>
      <c r="F69" s="70">
        <v>236.14</v>
      </c>
      <c r="G69" s="26">
        <v>44.38</v>
      </c>
      <c r="H69" s="26">
        <f t="shared" si="6"/>
        <v>10.48</v>
      </c>
      <c r="I69" s="26">
        <f t="shared" si="7"/>
        <v>416.14</v>
      </c>
      <c r="J69" s="26">
        <f t="shared" si="8"/>
        <v>18.06</v>
      </c>
    </row>
    <row r="70" spans="1:10" s="12" customFormat="1" ht="29.25" customHeight="1" hidden="1">
      <c r="A70" s="24"/>
      <c r="B70" s="25" t="s">
        <v>52</v>
      </c>
      <c r="C70" s="70">
        <v>452</v>
      </c>
      <c r="D70" s="26">
        <v>42.11</v>
      </c>
      <c r="E70" s="26">
        <f t="shared" si="9"/>
        <v>19.03</v>
      </c>
      <c r="F70" s="70">
        <v>283.78</v>
      </c>
      <c r="G70" s="26">
        <v>44.38</v>
      </c>
      <c r="H70" s="26">
        <f t="shared" si="6"/>
        <v>12.59</v>
      </c>
      <c r="I70" s="26">
        <f t="shared" si="7"/>
        <v>735.78</v>
      </c>
      <c r="J70" s="26">
        <f t="shared" si="8"/>
        <v>31.62</v>
      </c>
    </row>
    <row r="71" spans="1:10" s="5" customFormat="1" ht="18.75" customHeight="1">
      <c r="A71" s="103" t="s">
        <v>34</v>
      </c>
      <c r="B71" s="104"/>
      <c r="C71" s="32">
        <f>C68+C65+C61+C60+C59+C58+C40+C16+C15+C14</f>
        <v>34140.54</v>
      </c>
      <c r="D71" s="51">
        <f>E71/C71*1000</f>
        <v>45.43</v>
      </c>
      <c r="E71" s="32">
        <f>E68+E65+E61+E60+E59+E58+E40+E16+E15+E14</f>
        <v>1550.94</v>
      </c>
      <c r="F71" s="32">
        <f>F68+F65+F61+F60+F59+F58+F40+F16+F15+F14</f>
        <v>40262.36</v>
      </c>
      <c r="G71" s="51">
        <f>H71/F71*1000</f>
        <v>48.03</v>
      </c>
      <c r="H71" s="32">
        <f>H68+H65+H61+H60+H59+H58+H40+H16+H15+H14</f>
        <v>1933.97</v>
      </c>
      <c r="I71" s="32">
        <f>I68+I65+I61+I60+I59+I58+I40+I16+I15+I14</f>
        <v>74402.9</v>
      </c>
      <c r="J71" s="32">
        <f>J68+J65+J61+J60+J59+J58+J40+J16+J15+J14</f>
        <v>3484.91</v>
      </c>
    </row>
    <row r="72" spans="1:12" ht="12.75">
      <c r="A72" s="15"/>
      <c r="B72" s="43"/>
      <c r="C72" s="12"/>
      <c r="D72" s="12"/>
      <c r="E72" s="12"/>
      <c r="F72" s="84"/>
      <c r="G72" s="85"/>
      <c r="H72" s="36"/>
      <c r="I72" s="45"/>
      <c r="J72" s="36"/>
      <c r="K72" s="12"/>
      <c r="L72" s="12"/>
    </row>
    <row r="73" spans="1:10" ht="12.75">
      <c r="A73" s="15"/>
      <c r="B73" s="16"/>
      <c r="C73" s="12"/>
      <c r="D73" s="12"/>
      <c r="E73" s="12"/>
      <c r="F73" s="1"/>
      <c r="G73" s="12"/>
      <c r="H73" s="12"/>
      <c r="I73" s="45"/>
      <c r="J73" s="12"/>
    </row>
    <row r="74" spans="1:10" ht="12.75">
      <c r="A74" s="17"/>
      <c r="B74" s="18"/>
      <c r="C74" s="13"/>
      <c r="D74" s="13"/>
      <c r="E74" s="13"/>
      <c r="F74" s="13"/>
      <c r="G74" s="12"/>
      <c r="H74" s="12"/>
      <c r="I74" s="12"/>
      <c r="J74" s="45"/>
    </row>
    <row r="75" spans="1:10" ht="12.75">
      <c r="A75" s="17"/>
      <c r="B75" s="18"/>
      <c r="C75" s="13"/>
      <c r="D75" s="37"/>
      <c r="E75" s="37"/>
      <c r="F75" s="37"/>
      <c r="G75" s="12"/>
      <c r="H75" s="12"/>
      <c r="I75" s="45"/>
      <c r="J75" s="12"/>
    </row>
    <row r="76" spans="1:10" ht="12.75">
      <c r="A76" s="17"/>
      <c r="B76" s="18"/>
      <c r="C76" s="13"/>
      <c r="D76" s="37"/>
      <c r="E76" s="37"/>
      <c r="F76" s="37"/>
      <c r="G76" s="12"/>
      <c r="H76" s="12"/>
      <c r="I76" s="12"/>
      <c r="J76" s="12"/>
    </row>
    <row r="77" spans="1:10" ht="12.75">
      <c r="A77" s="17"/>
      <c r="B77" s="18"/>
      <c r="C77" s="13"/>
      <c r="D77" s="37"/>
      <c r="E77" s="37"/>
      <c r="F77" s="37"/>
      <c r="G77" s="12"/>
      <c r="H77" s="12"/>
      <c r="I77" s="45"/>
      <c r="J77" s="12"/>
    </row>
    <row r="78" spans="1:10" ht="12.75">
      <c r="A78" s="17"/>
      <c r="B78" s="18"/>
      <c r="C78" s="13"/>
      <c r="D78" s="37"/>
      <c r="E78" s="37"/>
      <c r="F78" s="37"/>
      <c r="G78" s="12"/>
      <c r="H78" s="12"/>
      <c r="I78" s="12"/>
      <c r="J78" s="12"/>
    </row>
    <row r="79" spans="1:10" ht="12.75">
      <c r="A79" s="17"/>
      <c r="B79" s="18"/>
      <c r="C79" s="13"/>
      <c r="D79" s="13"/>
      <c r="E79" s="13"/>
      <c r="F79" s="13"/>
      <c r="G79" s="12"/>
      <c r="H79" s="12"/>
      <c r="I79" s="12"/>
      <c r="J79" s="12"/>
    </row>
    <row r="80" spans="1:10" ht="15">
      <c r="A80" s="15"/>
      <c r="B80" s="16"/>
      <c r="C80" s="38"/>
      <c r="D80" s="38"/>
      <c r="E80" s="38"/>
      <c r="F80" s="86"/>
      <c r="G80" s="12"/>
      <c r="H80" s="12"/>
      <c r="I80" s="12"/>
      <c r="J80" s="12"/>
    </row>
    <row r="81" spans="1:10" ht="12.75">
      <c r="A81" s="15"/>
      <c r="B81" s="22"/>
      <c r="C81" s="39"/>
      <c r="D81" s="39"/>
      <c r="E81" s="39"/>
      <c r="F81" s="39"/>
      <c r="G81" s="12"/>
      <c r="H81" s="12"/>
      <c r="I81" s="12"/>
      <c r="J81" s="12"/>
    </row>
    <row r="82" spans="1:10" ht="12.75">
      <c r="A82" s="15"/>
      <c r="B82" s="22"/>
      <c r="C82" s="39"/>
      <c r="D82" s="39"/>
      <c r="E82" s="39"/>
      <c r="F82" s="87"/>
      <c r="G82" s="12"/>
      <c r="H82" s="12"/>
      <c r="I82" s="12"/>
      <c r="J82" s="12"/>
    </row>
    <row r="83" spans="1:10" ht="15">
      <c r="A83" s="15"/>
      <c r="B83" s="44"/>
      <c r="C83" s="12"/>
      <c r="D83" s="12"/>
      <c r="E83" s="12"/>
      <c r="F83" s="1"/>
      <c r="G83" s="12"/>
      <c r="H83" s="12"/>
      <c r="I83" s="12"/>
      <c r="J83" s="12"/>
    </row>
    <row r="84" spans="1:10" ht="12.75">
      <c r="A84" s="15"/>
      <c r="B84" s="16"/>
      <c r="C84" s="12"/>
      <c r="D84" s="12"/>
      <c r="E84" s="12"/>
      <c r="F84" s="1"/>
      <c r="G84" s="12"/>
      <c r="H84" s="12"/>
      <c r="I84" s="12"/>
      <c r="J84" s="12"/>
    </row>
    <row r="85" spans="1:10" ht="12.75">
      <c r="A85" s="15"/>
      <c r="B85" s="16"/>
      <c r="C85" s="12"/>
      <c r="D85" s="12"/>
      <c r="E85" s="12"/>
      <c r="F85" s="1"/>
      <c r="G85" s="12"/>
      <c r="H85" s="12"/>
      <c r="I85" s="12"/>
      <c r="J85" s="12"/>
    </row>
    <row r="86" spans="1:10" ht="12.75">
      <c r="A86" s="15"/>
      <c r="B86" s="16"/>
      <c r="C86" s="12"/>
      <c r="D86" s="12"/>
      <c r="E86" s="12"/>
      <c r="F86" s="1"/>
      <c r="G86" s="12"/>
      <c r="H86" s="12"/>
      <c r="I86" s="12"/>
      <c r="J86" s="12"/>
    </row>
    <row r="87" spans="1:10" ht="15">
      <c r="A87" s="15"/>
      <c r="B87" s="44"/>
      <c r="C87" s="12"/>
      <c r="D87" s="12"/>
      <c r="E87" s="12"/>
      <c r="F87" s="1"/>
      <c r="G87" s="12"/>
      <c r="H87" s="12"/>
      <c r="I87" s="12"/>
      <c r="J87" s="12"/>
    </row>
    <row r="88" spans="1:10" ht="12.75">
      <c r="A88" s="15"/>
      <c r="B88" s="16"/>
      <c r="C88" s="12"/>
      <c r="D88" s="12"/>
      <c r="E88" s="12"/>
      <c r="F88" s="1"/>
      <c r="G88" s="12"/>
      <c r="H88" s="12"/>
      <c r="I88" s="12"/>
      <c r="J88" s="12"/>
    </row>
    <row r="89" spans="1:10" ht="12.75">
      <c r="A89" s="15"/>
      <c r="B89" s="16"/>
      <c r="C89" s="12"/>
      <c r="D89" s="12"/>
      <c r="E89" s="12"/>
      <c r="F89" s="1"/>
      <c r="G89" s="12"/>
      <c r="H89" s="12"/>
      <c r="I89" s="12"/>
      <c r="J89" s="12"/>
    </row>
    <row r="90" spans="1:10" ht="12.75">
      <c r="A90" s="15"/>
      <c r="B90" s="16"/>
      <c r="C90" s="12"/>
      <c r="D90" s="12"/>
      <c r="E90" s="12"/>
      <c r="F90" s="1"/>
      <c r="G90" s="12"/>
      <c r="H90" s="12"/>
      <c r="I90" s="12"/>
      <c r="J90" s="12"/>
    </row>
    <row r="91" spans="1:10" ht="12.75">
      <c r="A91" s="15"/>
      <c r="B91" s="16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5"/>
      <c r="B92" s="16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5"/>
      <c r="B93" s="16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15"/>
      <c r="B94" s="16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15"/>
      <c r="B95" s="16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15"/>
      <c r="B96" s="16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15"/>
      <c r="B97" s="16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15"/>
      <c r="B98" s="16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15"/>
      <c r="B99" s="16"/>
      <c r="C99" s="12"/>
      <c r="D99" s="12"/>
      <c r="E99" s="12"/>
      <c r="F99" s="12"/>
      <c r="G99" s="12"/>
      <c r="H99" s="12"/>
      <c r="I99" s="12"/>
      <c r="J99" s="12"/>
    </row>
    <row r="100" spans="1:10" ht="12.75">
      <c r="A100" s="15"/>
      <c r="B100" s="16"/>
      <c r="C100" s="12"/>
      <c r="D100" s="12"/>
      <c r="E100" s="12"/>
      <c r="F100" s="12"/>
      <c r="G100" s="12"/>
      <c r="H100" s="12"/>
      <c r="I100" s="12"/>
      <c r="J100" s="12"/>
    </row>
    <row r="101" spans="1:10" ht="12.75">
      <c r="A101" s="15"/>
      <c r="B101" s="16"/>
      <c r="C101" s="12"/>
      <c r="D101" s="12"/>
      <c r="E101" s="12"/>
      <c r="F101" s="12"/>
      <c r="G101" s="12"/>
      <c r="H101" s="12"/>
      <c r="I101" s="12"/>
      <c r="J101" s="12"/>
    </row>
    <row r="102" spans="1:10" ht="12.75">
      <c r="A102" s="15"/>
      <c r="B102" s="16"/>
      <c r="C102" s="12"/>
      <c r="D102" s="12"/>
      <c r="E102" s="12"/>
      <c r="F102" s="12"/>
      <c r="G102" s="12"/>
      <c r="H102" s="12"/>
      <c r="I102" s="12"/>
      <c r="J102" s="12"/>
    </row>
    <row r="103" spans="1:10" ht="12.75">
      <c r="A103" s="15"/>
      <c r="B103" s="16"/>
      <c r="C103" s="12"/>
      <c r="D103" s="12"/>
      <c r="E103" s="12"/>
      <c r="F103" s="12"/>
      <c r="G103" s="12"/>
      <c r="H103" s="12"/>
      <c r="I103" s="12"/>
      <c r="J103" s="12"/>
    </row>
    <row r="104" spans="1:10" ht="12.75">
      <c r="A104" s="15"/>
      <c r="B104" s="16"/>
      <c r="C104" s="12"/>
      <c r="D104" s="12"/>
      <c r="E104" s="12"/>
      <c r="F104" s="12"/>
      <c r="G104" s="12"/>
      <c r="H104" s="12"/>
      <c r="I104" s="12"/>
      <c r="J104" s="12"/>
    </row>
    <row r="105" spans="1:10" ht="12.75">
      <c r="A105" s="15"/>
      <c r="B105" s="16"/>
      <c r="C105" s="12"/>
      <c r="D105" s="12"/>
      <c r="E105" s="12"/>
      <c r="F105" s="12"/>
      <c r="G105" s="12"/>
      <c r="H105" s="12"/>
      <c r="I105" s="12"/>
      <c r="J105" s="12"/>
    </row>
    <row r="106" spans="1:10" ht="12.75">
      <c r="A106" s="15"/>
      <c r="B106" s="16"/>
      <c r="C106" s="12"/>
      <c r="D106" s="12"/>
      <c r="E106" s="12"/>
      <c r="F106" s="12"/>
      <c r="G106" s="12"/>
      <c r="H106" s="12"/>
      <c r="I106" s="12"/>
      <c r="J106" s="12"/>
    </row>
    <row r="107" spans="1:10" ht="12.75">
      <c r="A107" s="15"/>
      <c r="B107" s="16"/>
      <c r="C107" s="12"/>
      <c r="D107" s="12"/>
      <c r="E107" s="12"/>
      <c r="F107" s="12"/>
      <c r="G107" s="12"/>
      <c r="H107" s="12"/>
      <c r="I107" s="12"/>
      <c r="J107" s="12"/>
    </row>
    <row r="108" spans="1:10" ht="12.75">
      <c r="A108" s="15"/>
      <c r="B108" s="16"/>
      <c r="C108" s="12"/>
      <c r="D108" s="12"/>
      <c r="E108" s="12"/>
      <c r="F108" s="12"/>
      <c r="G108" s="12"/>
      <c r="H108" s="12"/>
      <c r="I108" s="12"/>
      <c r="J108" s="12"/>
    </row>
    <row r="109" spans="1:10" ht="12.75">
      <c r="A109" s="15"/>
      <c r="B109" s="43"/>
      <c r="C109" s="12"/>
      <c r="D109" s="12"/>
      <c r="E109" s="12"/>
      <c r="F109" s="12"/>
      <c r="G109" s="12"/>
      <c r="H109" s="12"/>
      <c r="I109" s="12"/>
      <c r="J109" s="12"/>
    </row>
    <row r="110" spans="1:10" ht="12.75">
      <c r="A110" s="15"/>
      <c r="B110" s="43"/>
      <c r="C110" s="12"/>
      <c r="D110" s="12"/>
      <c r="E110" s="12"/>
      <c r="F110" s="12"/>
      <c r="G110" s="12"/>
      <c r="H110" s="12"/>
      <c r="I110" s="12"/>
      <c r="J110" s="12"/>
    </row>
    <row r="111" spans="1:10" ht="12.75">
      <c r="A111" s="15"/>
      <c r="B111" s="43"/>
      <c r="C111" s="12"/>
      <c r="D111" s="12"/>
      <c r="E111" s="12"/>
      <c r="F111" s="12"/>
      <c r="G111" s="12"/>
      <c r="H111" s="12"/>
      <c r="I111" s="12"/>
      <c r="J111" s="12"/>
    </row>
    <row r="112" spans="1:10" ht="12.75">
      <c r="A112" s="15"/>
      <c r="B112" s="43"/>
      <c r="C112" s="12"/>
      <c r="D112" s="12"/>
      <c r="E112" s="12"/>
      <c r="F112" s="12"/>
      <c r="G112" s="12"/>
      <c r="H112" s="12"/>
      <c r="I112" s="12"/>
      <c r="J112" s="12"/>
    </row>
    <row r="113" spans="1:10" ht="12.75">
      <c r="A113" s="15"/>
      <c r="B113" s="43"/>
      <c r="C113" s="12"/>
      <c r="D113" s="12"/>
      <c r="E113" s="12"/>
      <c r="F113" s="12"/>
      <c r="G113" s="12"/>
      <c r="H113" s="12"/>
      <c r="I113" s="12"/>
      <c r="J113" s="12"/>
    </row>
    <row r="114" spans="1:10" ht="12.75">
      <c r="A114" s="15"/>
      <c r="B114" s="43"/>
      <c r="C114" s="12"/>
      <c r="D114" s="12"/>
      <c r="E114" s="12"/>
      <c r="F114" s="12"/>
      <c r="G114" s="12"/>
      <c r="H114" s="12"/>
      <c r="I114" s="12"/>
      <c r="J114" s="12"/>
    </row>
    <row r="115" spans="1:10" ht="12.75">
      <c r="A115" s="15"/>
      <c r="B115" s="43"/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15"/>
      <c r="B116" s="43"/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15"/>
      <c r="B117" s="16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5"/>
      <c r="B118" s="16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5"/>
      <c r="B119" s="16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5"/>
      <c r="B120" s="16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5"/>
      <c r="B121" s="16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15"/>
      <c r="B122" s="16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15"/>
      <c r="B123" s="16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5"/>
      <c r="B124" s="16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5"/>
      <c r="B125" s="16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5"/>
      <c r="B126" s="16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5"/>
      <c r="B127" s="16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5"/>
      <c r="B128" s="16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5"/>
      <c r="B129" s="16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5"/>
      <c r="B130" s="16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5"/>
      <c r="B131" s="16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15"/>
      <c r="B132" s="16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15"/>
      <c r="B133" s="16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15"/>
      <c r="B134" s="16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15"/>
      <c r="B135" s="16"/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15"/>
      <c r="B136" s="16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15"/>
      <c r="B137" s="16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5"/>
      <c r="B138" s="16"/>
      <c r="C138" s="12"/>
      <c r="D138" s="12"/>
      <c r="E138" s="12"/>
      <c r="F138" s="12"/>
      <c r="G138" s="12"/>
      <c r="H138" s="12"/>
      <c r="I138" s="12"/>
      <c r="J138" s="12"/>
    </row>
    <row r="139" spans="1:10" ht="12.75">
      <c r="A139" s="15"/>
      <c r="B139" s="16"/>
      <c r="C139" s="12"/>
      <c r="D139" s="12"/>
      <c r="E139" s="12"/>
      <c r="F139" s="12"/>
      <c r="G139" s="12"/>
      <c r="H139" s="12"/>
      <c r="I139" s="12"/>
      <c r="J139" s="12"/>
    </row>
    <row r="140" spans="1:10" ht="12.75">
      <c r="A140" s="15"/>
      <c r="B140" s="16"/>
      <c r="C140" s="12"/>
      <c r="D140" s="12"/>
      <c r="E140" s="12"/>
      <c r="F140" s="12"/>
      <c r="G140" s="12"/>
      <c r="H140" s="12"/>
      <c r="I140" s="12"/>
      <c r="J140" s="12"/>
    </row>
    <row r="141" spans="1:10" ht="12.75">
      <c r="A141" s="15"/>
      <c r="B141" s="16"/>
      <c r="C141" s="12"/>
      <c r="D141" s="12"/>
      <c r="E141" s="12"/>
      <c r="F141" s="12"/>
      <c r="G141" s="12"/>
      <c r="H141" s="12"/>
      <c r="I141" s="12"/>
      <c r="J141" s="12"/>
    </row>
    <row r="142" spans="1:10" ht="12.75">
      <c r="A142" s="15"/>
      <c r="B142" s="16"/>
      <c r="C142" s="12"/>
      <c r="D142" s="12"/>
      <c r="E142" s="12"/>
      <c r="F142" s="12"/>
      <c r="G142" s="12"/>
      <c r="H142" s="12"/>
      <c r="I142" s="12"/>
      <c r="J142" s="12"/>
    </row>
    <row r="143" spans="1:10" ht="12.75">
      <c r="A143" s="15"/>
      <c r="B143" s="16"/>
      <c r="C143" s="12"/>
      <c r="D143" s="12"/>
      <c r="E143" s="12"/>
      <c r="F143" s="12"/>
      <c r="G143" s="12"/>
      <c r="H143" s="12"/>
      <c r="I143" s="12"/>
      <c r="J143" s="12"/>
    </row>
    <row r="144" spans="1:10" ht="12.75">
      <c r="A144" s="15"/>
      <c r="B144" s="16"/>
      <c r="C144" s="12"/>
      <c r="D144" s="12"/>
      <c r="E144" s="12"/>
      <c r="F144" s="12"/>
      <c r="G144" s="12"/>
      <c r="H144" s="12"/>
      <c r="I144" s="12"/>
      <c r="J144" s="12"/>
    </row>
    <row r="145" spans="1:10" ht="12.75">
      <c r="A145" s="15"/>
      <c r="B145" s="16"/>
      <c r="C145" s="12"/>
      <c r="D145" s="12"/>
      <c r="E145" s="12"/>
      <c r="F145" s="12"/>
      <c r="G145" s="12"/>
      <c r="H145" s="12"/>
      <c r="I145" s="12"/>
      <c r="J145" s="12"/>
    </row>
    <row r="146" spans="1:10" ht="12.75">
      <c r="A146" s="15"/>
      <c r="B146" s="16"/>
      <c r="C146" s="12"/>
      <c r="D146" s="12"/>
      <c r="E146" s="12"/>
      <c r="F146" s="12"/>
      <c r="G146" s="12"/>
      <c r="H146" s="12"/>
      <c r="I146" s="12"/>
      <c r="J146" s="12"/>
    </row>
    <row r="147" spans="1:10" ht="12.75">
      <c r="A147" s="15"/>
      <c r="B147" s="16"/>
      <c r="C147" s="12"/>
      <c r="D147" s="12"/>
      <c r="E147" s="12"/>
      <c r="F147" s="12"/>
      <c r="G147" s="12"/>
      <c r="H147" s="12"/>
      <c r="I147" s="12"/>
      <c r="J147" s="12"/>
    </row>
    <row r="148" spans="1:10" ht="12.75">
      <c r="A148" s="15"/>
      <c r="B148" s="16"/>
      <c r="C148" s="12"/>
      <c r="D148" s="12"/>
      <c r="E148" s="12"/>
      <c r="F148" s="12"/>
      <c r="G148" s="12"/>
      <c r="H148" s="12"/>
      <c r="I148" s="12"/>
      <c r="J148" s="12"/>
    </row>
    <row r="149" spans="1:10" ht="12.75">
      <c r="A149" s="15"/>
      <c r="B149" s="16"/>
      <c r="C149" s="12"/>
      <c r="D149" s="12"/>
      <c r="E149" s="12"/>
      <c r="F149" s="12"/>
      <c r="G149" s="12"/>
      <c r="H149" s="12"/>
      <c r="I149" s="12"/>
      <c r="J149" s="12"/>
    </row>
    <row r="150" spans="1:10" ht="12.75">
      <c r="A150" s="15"/>
      <c r="B150" s="16"/>
      <c r="C150" s="12"/>
      <c r="D150" s="12"/>
      <c r="E150" s="12"/>
      <c r="F150" s="12"/>
      <c r="G150" s="12"/>
      <c r="H150" s="12"/>
      <c r="I150" s="12"/>
      <c r="J150" s="12"/>
    </row>
    <row r="151" spans="1:10" ht="12.75">
      <c r="A151" s="15"/>
      <c r="B151" s="16"/>
      <c r="C151" s="12"/>
      <c r="D151" s="12"/>
      <c r="E151" s="12"/>
      <c r="F151" s="12"/>
      <c r="G151" s="12"/>
      <c r="H151" s="12"/>
      <c r="I151" s="12"/>
      <c r="J151" s="12"/>
    </row>
    <row r="152" spans="1:10" ht="12.75">
      <c r="A152" s="15"/>
      <c r="B152" s="16"/>
      <c r="C152" s="12"/>
      <c r="D152" s="12"/>
      <c r="E152" s="12"/>
      <c r="F152" s="12"/>
      <c r="G152" s="12"/>
      <c r="H152" s="12"/>
      <c r="I152" s="12"/>
      <c r="J152" s="12"/>
    </row>
    <row r="153" spans="1:10" ht="12.75">
      <c r="A153" s="15"/>
      <c r="B153" s="16"/>
      <c r="C153" s="12"/>
      <c r="D153" s="12"/>
      <c r="E153" s="12"/>
      <c r="F153" s="12"/>
      <c r="G153" s="12"/>
      <c r="H153" s="12"/>
      <c r="I153" s="12"/>
      <c r="J153" s="12"/>
    </row>
    <row r="154" spans="1:10" ht="12.75">
      <c r="A154" s="15"/>
      <c r="B154" s="16"/>
      <c r="C154" s="12"/>
      <c r="D154" s="12"/>
      <c r="E154" s="12"/>
      <c r="F154" s="12"/>
      <c r="G154" s="12"/>
      <c r="H154" s="12"/>
      <c r="I154" s="12"/>
      <c r="J154" s="12"/>
    </row>
    <row r="155" spans="1:10" ht="12.75">
      <c r="A155" s="15"/>
      <c r="B155" s="16"/>
      <c r="C155" s="12"/>
      <c r="D155" s="12"/>
      <c r="E155" s="12"/>
      <c r="F155" s="12"/>
      <c r="G155" s="12"/>
      <c r="H155" s="12"/>
      <c r="I155" s="12"/>
      <c r="J155" s="12"/>
    </row>
    <row r="156" spans="1:10" ht="12.75">
      <c r="A156" s="15"/>
      <c r="B156" s="16"/>
      <c r="C156" s="12"/>
      <c r="D156" s="12"/>
      <c r="E156" s="12"/>
      <c r="F156" s="12"/>
      <c r="G156" s="12"/>
      <c r="H156" s="12"/>
      <c r="I156" s="12"/>
      <c r="J156" s="12"/>
    </row>
    <row r="157" spans="1:10" ht="12.75">
      <c r="A157" s="15"/>
      <c r="B157" s="16"/>
      <c r="C157" s="12"/>
      <c r="D157" s="12"/>
      <c r="E157" s="12"/>
      <c r="F157" s="12"/>
      <c r="G157" s="12"/>
      <c r="H157" s="12"/>
      <c r="I157" s="12"/>
      <c r="J157" s="12"/>
    </row>
    <row r="158" spans="1:10" ht="12.75">
      <c r="A158" s="15"/>
      <c r="B158" s="16"/>
      <c r="C158" s="12"/>
      <c r="D158" s="12"/>
      <c r="E158" s="12"/>
      <c r="F158" s="12"/>
      <c r="G158" s="12"/>
      <c r="H158" s="12"/>
      <c r="I158" s="12"/>
      <c r="J158" s="12"/>
    </row>
    <row r="159" spans="1:10" ht="12.75">
      <c r="A159" s="15"/>
      <c r="B159" s="16"/>
      <c r="C159" s="12"/>
      <c r="D159" s="12"/>
      <c r="E159" s="12"/>
      <c r="F159" s="12"/>
      <c r="G159" s="12"/>
      <c r="H159" s="12"/>
      <c r="I159" s="12"/>
      <c r="J159" s="12"/>
    </row>
    <row r="160" spans="1:10" ht="12.75">
      <c r="A160" s="15"/>
      <c r="B160" s="16"/>
      <c r="C160" s="12"/>
      <c r="D160" s="12"/>
      <c r="E160" s="12"/>
      <c r="F160" s="12"/>
      <c r="G160" s="12"/>
      <c r="H160" s="12"/>
      <c r="I160" s="12"/>
      <c r="J160" s="12"/>
    </row>
    <row r="161" spans="1:10" ht="12.75">
      <c r="A161" s="15"/>
      <c r="B161" s="16"/>
      <c r="C161" s="12"/>
      <c r="D161" s="12"/>
      <c r="E161" s="12"/>
      <c r="F161" s="12"/>
      <c r="G161" s="12"/>
      <c r="H161" s="12"/>
      <c r="I161" s="12"/>
      <c r="J161" s="12"/>
    </row>
    <row r="162" spans="1:10" ht="12.75">
      <c r="A162" s="15"/>
      <c r="B162" s="16"/>
      <c r="C162" s="12"/>
      <c r="D162" s="12"/>
      <c r="E162" s="12"/>
      <c r="F162" s="12"/>
      <c r="G162" s="12"/>
      <c r="H162" s="12"/>
      <c r="I162" s="12"/>
      <c r="J162" s="12"/>
    </row>
    <row r="163" spans="1:10" ht="12.75">
      <c r="A163" s="15"/>
      <c r="B163" s="16"/>
      <c r="C163" s="12"/>
      <c r="D163" s="12"/>
      <c r="E163" s="12"/>
      <c r="F163" s="12"/>
      <c r="G163" s="12"/>
      <c r="H163" s="12"/>
      <c r="I163" s="12"/>
      <c r="J163" s="12"/>
    </row>
    <row r="164" spans="1:10" ht="12.75">
      <c r="A164" s="15"/>
      <c r="B164" s="16"/>
      <c r="C164" s="12"/>
      <c r="D164" s="12"/>
      <c r="E164" s="12"/>
      <c r="F164" s="12"/>
      <c r="G164" s="12"/>
      <c r="H164" s="12"/>
      <c r="I164" s="12"/>
      <c r="J164" s="12"/>
    </row>
    <row r="165" spans="1:10" ht="12.75">
      <c r="A165" s="15"/>
      <c r="B165" s="16"/>
      <c r="C165" s="12"/>
      <c r="D165" s="12"/>
      <c r="E165" s="12"/>
      <c r="F165" s="12"/>
      <c r="G165" s="12"/>
      <c r="H165" s="12"/>
      <c r="I165" s="12"/>
      <c r="J165" s="12"/>
    </row>
    <row r="166" spans="1:10" ht="12.75">
      <c r="A166" s="15"/>
      <c r="B166" s="16"/>
      <c r="C166" s="12"/>
      <c r="D166" s="12"/>
      <c r="E166" s="12"/>
      <c r="F166" s="12"/>
      <c r="G166" s="12"/>
      <c r="H166" s="12"/>
      <c r="I166" s="12"/>
      <c r="J166" s="12"/>
    </row>
    <row r="167" spans="1:10" ht="12.75">
      <c r="A167" s="15"/>
      <c r="B167" s="16"/>
      <c r="C167" s="12"/>
      <c r="D167" s="12"/>
      <c r="E167" s="12"/>
      <c r="F167" s="12"/>
      <c r="G167" s="12"/>
      <c r="H167" s="12"/>
      <c r="I167" s="12"/>
      <c r="J167" s="12"/>
    </row>
    <row r="168" spans="1:10" ht="12.75">
      <c r="A168" s="15"/>
      <c r="B168" s="16"/>
      <c r="C168" s="12"/>
      <c r="D168" s="12"/>
      <c r="E168" s="12"/>
      <c r="F168" s="12"/>
      <c r="G168" s="12"/>
      <c r="H168" s="12"/>
      <c r="I168" s="12"/>
      <c r="J168" s="12"/>
    </row>
    <row r="169" spans="1:10" ht="12.75">
      <c r="A169" s="15"/>
      <c r="B169" s="16"/>
      <c r="C169" s="12"/>
      <c r="D169" s="12"/>
      <c r="E169" s="12"/>
      <c r="F169" s="12"/>
      <c r="G169" s="12"/>
      <c r="H169" s="12"/>
      <c r="I169" s="12"/>
      <c r="J169" s="12"/>
    </row>
    <row r="170" spans="1:10" ht="12.75">
      <c r="A170" s="15"/>
      <c r="B170" s="16"/>
      <c r="C170" s="12"/>
      <c r="D170" s="12"/>
      <c r="E170" s="12"/>
      <c r="F170" s="12"/>
      <c r="G170" s="12"/>
      <c r="H170" s="12"/>
      <c r="I170" s="12"/>
      <c r="J170" s="12"/>
    </row>
    <row r="171" spans="1:10" ht="12.75">
      <c r="A171" s="15"/>
      <c r="B171" s="16"/>
      <c r="C171" s="12"/>
      <c r="D171" s="12"/>
      <c r="E171" s="12"/>
      <c r="F171" s="12"/>
      <c r="G171" s="12"/>
      <c r="H171" s="12"/>
      <c r="I171" s="12"/>
      <c r="J171" s="12"/>
    </row>
    <row r="172" spans="1:10" ht="12.75">
      <c r="A172" s="15"/>
      <c r="B172" s="16"/>
      <c r="C172" s="12"/>
      <c r="D172" s="12"/>
      <c r="E172" s="12"/>
      <c r="F172" s="12"/>
      <c r="G172" s="12"/>
      <c r="H172" s="12"/>
      <c r="I172" s="12"/>
      <c r="J172" s="12"/>
    </row>
    <row r="173" spans="1:10" ht="12.75">
      <c r="A173" s="15"/>
      <c r="B173" s="16"/>
      <c r="C173" s="12"/>
      <c r="D173" s="12"/>
      <c r="E173" s="12"/>
      <c r="F173" s="12"/>
      <c r="G173" s="12"/>
      <c r="H173" s="12"/>
      <c r="I173" s="12"/>
      <c r="J173" s="12"/>
    </row>
    <row r="174" spans="1:10" ht="12.75">
      <c r="A174" s="15"/>
      <c r="B174" s="16"/>
      <c r="C174" s="12"/>
      <c r="D174" s="12"/>
      <c r="E174" s="12"/>
      <c r="F174" s="12"/>
      <c r="G174" s="12"/>
      <c r="H174" s="12"/>
      <c r="I174" s="12"/>
      <c r="J174" s="12"/>
    </row>
    <row r="175" spans="1:10" ht="12.75">
      <c r="A175" s="15"/>
      <c r="B175" s="16"/>
      <c r="C175" s="12"/>
      <c r="D175" s="12"/>
      <c r="E175" s="12"/>
      <c r="F175" s="12"/>
      <c r="G175" s="12"/>
      <c r="H175" s="12"/>
      <c r="I175" s="12"/>
      <c r="J175" s="12"/>
    </row>
    <row r="176" spans="1:10" ht="12.75">
      <c r="A176" s="15"/>
      <c r="B176" s="16"/>
      <c r="C176" s="12"/>
      <c r="D176" s="12"/>
      <c r="E176" s="12"/>
      <c r="F176" s="12"/>
      <c r="G176" s="12"/>
      <c r="H176" s="12"/>
      <c r="I176" s="12"/>
      <c r="J176" s="12"/>
    </row>
    <row r="177" spans="1:10" ht="12.75">
      <c r="A177" s="15"/>
      <c r="B177" s="16"/>
      <c r="C177" s="12"/>
      <c r="D177" s="12"/>
      <c r="E177" s="12"/>
      <c r="F177" s="12"/>
      <c r="G177" s="12"/>
      <c r="H177" s="12"/>
      <c r="I177" s="12"/>
      <c r="J177" s="12"/>
    </row>
    <row r="178" spans="1:10" ht="12.75">
      <c r="A178" s="15"/>
      <c r="B178" s="16"/>
      <c r="C178" s="12"/>
      <c r="D178" s="12"/>
      <c r="E178" s="12"/>
      <c r="F178" s="12"/>
      <c r="G178" s="12"/>
      <c r="H178" s="12"/>
      <c r="I178" s="12"/>
      <c r="J178" s="12"/>
    </row>
    <row r="179" spans="1:10" ht="12.75">
      <c r="A179" s="15"/>
      <c r="B179" s="16"/>
      <c r="C179" s="12"/>
      <c r="D179" s="12"/>
      <c r="E179" s="12"/>
      <c r="F179" s="12"/>
      <c r="G179" s="12"/>
      <c r="H179" s="12"/>
      <c r="I179" s="12"/>
      <c r="J179" s="12"/>
    </row>
    <row r="180" spans="1:10" ht="12.75">
      <c r="A180" s="15"/>
      <c r="B180" s="16"/>
      <c r="C180" s="12"/>
      <c r="D180" s="12"/>
      <c r="E180" s="12"/>
      <c r="F180" s="12"/>
      <c r="G180" s="12"/>
      <c r="H180" s="12"/>
      <c r="I180" s="12"/>
      <c r="J180" s="12"/>
    </row>
    <row r="181" spans="1:10" ht="12.75">
      <c r="A181" s="15"/>
      <c r="B181" s="16"/>
      <c r="C181" s="12"/>
      <c r="D181" s="12"/>
      <c r="E181" s="12"/>
      <c r="F181" s="12"/>
      <c r="G181" s="12"/>
      <c r="H181" s="12"/>
      <c r="I181" s="12"/>
      <c r="J181" s="12"/>
    </row>
    <row r="182" spans="1:10" ht="12.75">
      <c r="A182" s="15"/>
      <c r="B182" s="16"/>
      <c r="C182" s="12"/>
      <c r="D182" s="12"/>
      <c r="E182" s="12"/>
      <c r="F182" s="12"/>
      <c r="G182" s="12"/>
      <c r="H182" s="12"/>
      <c r="I182" s="12"/>
      <c r="J182" s="12"/>
    </row>
    <row r="183" spans="1:10" ht="12.75">
      <c r="A183" s="15"/>
      <c r="B183" s="16"/>
      <c r="C183" s="12"/>
      <c r="D183" s="12"/>
      <c r="E183" s="12"/>
      <c r="F183" s="12"/>
      <c r="G183" s="12"/>
      <c r="H183" s="12"/>
      <c r="I183" s="12"/>
      <c r="J183" s="12"/>
    </row>
    <row r="184" spans="1:10" ht="12.75">
      <c r="A184" s="15"/>
      <c r="B184" s="16"/>
      <c r="C184" s="12"/>
      <c r="D184" s="12"/>
      <c r="E184" s="12"/>
      <c r="F184" s="12"/>
      <c r="G184" s="12"/>
      <c r="H184" s="12"/>
      <c r="I184" s="12"/>
      <c r="J184" s="12"/>
    </row>
    <row r="185" spans="1:10" ht="12.75">
      <c r="A185" s="15"/>
      <c r="B185" s="16"/>
      <c r="C185" s="12"/>
      <c r="D185" s="12"/>
      <c r="E185" s="12"/>
      <c r="F185" s="12"/>
      <c r="G185" s="12"/>
      <c r="H185" s="12"/>
      <c r="I185" s="12"/>
      <c r="J185" s="12"/>
    </row>
    <row r="186" spans="1:10" ht="12.75">
      <c r="A186" s="15"/>
      <c r="B186" s="16"/>
      <c r="C186" s="12"/>
      <c r="D186" s="12"/>
      <c r="E186" s="12"/>
      <c r="F186" s="12"/>
      <c r="G186" s="12"/>
      <c r="H186" s="12"/>
      <c r="I186" s="12"/>
      <c r="J186" s="12"/>
    </row>
    <row r="187" spans="1:10" ht="12.75">
      <c r="A187" s="15"/>
      <c r="B187" s="16"/>
      <c r="C187" s="12"/>
      <c r="D187" s="12"/>
      <c r="E187" s="12"/>
      <c r="F187" s="12"/>
      <c r="G187" s="12"/>
      <c r="H187" s="12"/>
      <c r="I187" s="12"/>
      <c r="J187" s="12"/>
    </row>
    <row r="188" spans="1:10" ht="12.75">
      <c r="A188" s="15"/>
      <c r="B188" s="16"/>
      <c r="C188" s="12"/>
      <c r="D188" s="12"/>
      <c r="E188" s="12"/>
      <c r="F188" s="12"/>
      <c r="G188" s="12"/>
      <c r="H188" s="12"/>
      <c r="I188" s="12"/>
      <c r="J188" s="12"/>
    </row>
  </sheetData>
  <sheetProtection/>
  <mergeCells count="25">
    <mergeCell ref="G12:G13"/>
    <mergeCell ref="H12:H13"/>
    <mergeCell ref="A9:J9"/>
    <mergeCell ref="I12:I13"/>
    <mergeCell ref="J12:J13"/>
    <mergeCell ref="C11:E11"/>
    <mergeCell ref="F11:H11"/>
    <mergeCell ref="H1:J1"/>
    <mergeCell ref="H2:J2"/>
    <mergeCell ref="H3:J3"/>
    <mergeCell ref="H5:J5"/>
    <mergeCell ref="H6:J6"/>
    <mergeCell ref="H7:J7"/>
    <mergeCell ref="E1:F1"/>
    <mergeCell ref="E3:F3"/>
    <mergeCell ref="A63:A64"/>
    <mergeCell ref="A71:B71"/>
    <mergeCell ref="I11:J11"/>
    <mergeCell ref="A11:A13"/>
    <mergeCell ref="B11:B13"/>
    <mergeCell ref="C12:C13"/>
    <mergeCell ref="D12:D13"/>
    <mergeCell ref="E12:E13"/>
    <mergeCell ref="F12:F13"/>
    <mergeCell ref="B63:B64"/>
  </mergeCells>
  <printOptions/>
  <pageMargins left="0.69" right="0.24" top="0.4" bottom="0.22" header="0.17" footer="0.2"/>
  <pageSetup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R133"/>
  <sheetViews>
    <sheetView zoomScaleSheetLayoutView="80" zoomScalePageLayoutView="0" workbookViewId="0" topLeftCell="A1">
      <selection activeCell="G7" sqref="G7"/>
    </sheetView>
  </sheetViews>
  <sheetFormatPr defaultColWidth="9.00390625" defaultRowHeight="12.75"/>
  <cols>
    <col min="1" max="1" width="7.375" style="6" customWidth="1"/>
    <col min="2" max="2" width="43.25390625" style="7" customWidth="1"/>
    <col min="3" max="3" width="12.75390625" style="8" customWidth="1"/>
    <col min="4" max="4" width="12.375" style="8" customWidth="1"/>
    <col min="5" max="5" width="12.75390625" style="8" customWidth="1"/>
    <col min="6" max="6" width="12.125" style="8" customWidth="1"/>
    <col min="7" max="7" width="12.375" style="8" customWidth="1"/>
    <col min="8" max="8" width="12.25390625" style="8" customWidth="1"/>
    <col min="9" max="9" width="12.375" style="8" customWidth="1"/>
    <col min="10" max="10" width="11.625" style="8" customWidth="1"/>
    <col min="11" max="16384" width="9.125" style="8" customWidth="1"/>
  </cols>
  <sheetData>
    <row r="1" spans="8:10" ht="12.75">
      <c r="H1" s="108" t="s">
        <v>127</v>
      </c>
      <c r="I1" s="108"/>
      <c r="J1" s="108"/>
    </row>
    <row r="2" spans="8:10" ht="12.75">
      <c r="H2" s="108" t="s">
        <v>109</v>
      </c>
      <c r="I2" s="108"/>
      <c r="J2" s="108"/>
    </row>
    <row r="3" spans="8:10" ht="12.75">
      <c r="H3" s="108" t="s">
        <v>164</v>
      </c>
      <c r="I3" s="108"/>
      <c r="J3" s="108"/>
    </row>
    <row r="5" spans="4:10" ht="12.75" customHeight="1">
      <c r="D5" s="62"/>
      <c r="G5" s="62"/>
      <c r="H5" s="108" t="s">
        <v>127</v>
      </c>
      <c r="I5" s="108"/>
      <c r="J5" s="108"/>
    </row>
    <row r="6" spans="4:10" ht="12.75" customHeight="1">
      <c r="D6" s="62"/>
      <c r="G6" s="62"/>
      <c r="H6" s="108" t="s">
        <v>109</v>
      </c>
      <c r="I6" s="108"/>
      <c r="J6" s="108"/>
    </row>
    <row r="7" spans="4:10" ht="15.75" customHeight="1">
      <c r="D7" s="62"/>
      <c r="G7" s="62"/>
      <c r="H7" s="108" t="s">
        <v>152</v>
      </c>
      <c r="I7" s="108"/>
      <c r="J7" s="108"/>
    </row>
    <row r="9" spans="1:18" ht="30" customHeight="1">
      <c r="A9" s="124" t="s">
        <v>142</v>
      </c>
      <c r="B9" s="124"/>
      <c r="C9" s="124"/>
      <c r="D9" s="124"/>
      <c r="E9" s="124"/>
      <c r="F9" s="124"/>
      <c r="G9" s="124"/>
      <c r="H9" s="124"/>
      <c r="I9" s="124"/>
      <c r="J9" s="124"/>
      <c r="K9" s="11"/>
      <c r="L9" s="11"/>
      <c r="M9" s="11"/>
      <c r="N9" s="11"/>
      <c r="O9" s="11"/>
      <c r="P9" s="11"/>
      <c r="Q9" s="11"/>
      <c r="R9" s="11"/>
    </row>
    <row r="10" spans="1:18" ht="13.5" customHeight="1">
      <c r="A10" s="2"/>
      <c r="B10" s="48"/>
      <c r="C10" s="2"/>
      <c r="D10" s="21"/>
      <c r="E10" s="2"/>
      <c r="F10" s="2"/>
      <c r="G10" s="21"/>
      <c r="H10" s="21"/>
      <c r="I10" s="21"/>
      <c r="J10" s="21"/>
      <c r="K10" s="11"/>
      <c r="L10" s="11"/>
      <c r="M10" s="11"/>
      <c r="N10" s="11"/>
      <c r="O10" s="11"/>
      <c r="P10" s="11"/>
      <c r="Q10" s="11"/>
      <c r="R10" s="11"/>
    </row>
    <row r="11" spans="1:10" s="5" customFormat="1" ht="12.75">
      <c r="A11" s="106" t="s">
        <v>67</v>
      </c>
      <c r="B11" s="105" t="s">
        <v>68</v>
      </c>
      <c r="C11" s="111" t="s">
        <v>132</v>
      </c>
      <c r="D11" s="111"/>
      <c r="E11" s="111"/>
      <c r="F11" s="105" t="s">
        <v>143</v>
      </c>
      <c r="G11" s="105"/>
      <c r="H11" s="105"/>
      <c r="I11" s="105" t="s">
        <v>144</v>
      </c>
      <c r="J11" s="105"/>
    </row>
    <row r="12" spans="1:10" s="5" customFormat="1" ht="13.5" customHeight="1">
      <c r="A12" s="106"/>
      <c r="B12" s="105"/>
      <c r="C12" s="109" t="s">
        <v>49</v>
      </c>
      <c r="D12" s="105" t="s">
        <v>111</v>
      </c>
      <c r="E12" s="105" t="s">
        <v>1</v>
      </c>
      <c r="F12" s="105" t="s">
        <v>49</v>
      </c>
      <c r="G12" s="105" t="s">
        <v>111</v>
      </c>
      <c r="H12" s="105" t="s">
        <v>113</v>
      </c>
      <c r="I12" s="105" t="s">
        <v>115</v>
      </c>
      <c r="J12" s="105" t="s">
        <v>130</v>
      </c>
    </row>
    <row r="13" spans="1:10" s="5" customFormat="1" ht="12.75">
      <c r="A13" s="106"/>
      <c r="B13" s="105"/>
      <c r="C13" s="109"/>
      <c r="D13" s="105"/>
      <c r="E13" s="105"/>
      <c r="F13" s="105"/>
      <c r="G13" s="105"/>
      <c r="H13" s="105"/>
      <c r="I13" s="105"/>
      <c r="J13" s="105"/>
    </row>
    <row r="14" spans="1:10" s="12" customFormat="1" ht="20.25" customHeight="1">
      <c r="A14" s="24">
        <v>1</v>
      </c>
      <c r="B14" s="25" t="s">
        <v>3</v>
      </c>
      <c r="C14" s="26">
        <f>'ПРИЛОЖ №2'!C15+ПРИЛОЖ№3!C14</f>
        <v>365.07</v>
      </c>
      <c r="D14" s="26">
        <v>242.63</v>
      </c>
      <c r="E14" s="26">
        <f>C14*D14/1000</f>
        <v>88.58</v>
      </c>
      <c r="F14" s="26">
        <f>'ПРИЛОЖ №2'!I15+ПРИЛОЖ№3!F14</f>
        <v>365.07</v>
      </c>
      <c r="G14" s="26">
        <v>255.73</v>
      </c>
      <c r="H14" s="26">
        <f>F14*G14/1000</f>
        <v>93.36</v>
      </c>
      <c r="I14" s="26">
        <f>C14+F14</f>
        <v>730.14</v>
      </c>
      <c r="J14" s="26">
        <f>H14+E14</f>
        <v>181.94</v>
      </c>
    </row>
    <row r="15" spans="1:10" s="12" customFormat="1" ht="26.25" customHeight="1">
      <c r="A15" s="24">
        <v>2</v>
      </c>
      <c r="B15" s="25" t="s">
        <v>60</v>
      </c>
      <c r="C15" s="26">
        <f>'ПРИЛОЖ №2'!C16+ПРИЛОЖ№3!C15</f>
        <v>72.56</v>
      </c>
      <c r="D15" s="26">
        <v>26.16</v>
      </c>
      <c r="E15" s="26">
        <f aca="true" t="shared" si="0" ref="E15:E57">C15*D15/1000</f>
        <v>1.9</v>
      </c>
      <c r="F15" s="26">
        <f>'ПРИЛОЖ №2'!I16+ПРИЛОЖ№3!F15</f>
        <v>72.56</v>
      </c>
      <c r="G15" s="26">
        <v>27.56</v>
      </c>
      <c r="H15" s="26">
        <f aca="true" t="shared" si="1" ref="H15:H57">F15*G15/1000</f>
        <v>2</v>
      </c>
      <c r="I15" s="26">
        <f aca="true" t="shared" si="2" ref="I15:I57">C15+F15</f>
        <v>145.12</v>
      </c>
      <c r="J15" s="26">
        <f aca="true" t="shared" si="3" ref="J15:J57">H15+E15</f>
        <v>3.9</v>
      </c>
    </row>
    <row r="16" spans="1:10" s="12" customFormat="1" ht="25.5" customHeight="1">
      <c r="A16" s="24">
        <v>3</v>
      </c>
      <c r="B16" s="25" t="s">
        <v>54</v>
      </c>
      <c r="C16" s="70">
        <f>SUM(C17:C39)</f>
        <v>45920</v>
      </c>
      <c r="D16" s="26">
        <f>E16/C16*1000</f>
        <v>33.53</v>
      </c>
      <c r="E16" s="70">
        <f>SUM(E17:E39)</f>
        <v>1539.67</v>
      </c>
      <c r="F16" s="70">
        <f>SUM(F17:F39)</f>
        <v>58636.36</v>
      </c>
      <c r="G16" s="26">
        <f>H16/F16*1000</f>
        <v>36.59</v>
      </c>
      <c r="H16" s="70">
        <f>SUM(H17:H39)</f>
        <v>2145.48</v>
      </c>
      <c r="I16" s="70">
        <f>SUM(I17:I39)</f>
        <v>104556.36</v>
      </c>
      <c r="J16" s="70">
        <f>SUM(J17:J39)</f>
        <v>3685.15</v>
      </c>
    </row>
    <row r="17" spans="1:10" s="12" customFormat="1" ht="14.25" customHeight="1" hidden="1">
      <c r="A17" s="24"/>
      <c r="B17" s="25" t="s">
        <v>29</v>
      </c>
      <c r="C17" s="26">
        <v>395</v>
      </c>
      <c r="D17" s="26">
        <v>242.63</v>
      </c>
      <c r="E17" s="26">
        <f t="shared" si="0"/>
        <v>95.84</v>
      </c>
      <c r="F17" s="26">
        <v>810.36</v>
      </c>
      <c r="G17" s="26">
        <v>255.73</v>
      </c>
      <c r="H17" s="26">
        <f t="shared" si="1"/>
        <v>207.23</v>
      </c>
      <c r="I17" s="26">
        <f t="shared" si="2"/>
        <v>1205.36</v>
      </c>
      <c r="J17" s="26">
        <f t="shared" si="3"/>
        <v>303.07</v>
      </c>
    </row>
    <row r="18" spans="1:10" s="12" customFormat="1" ht="14.25" customHeight="1" hidden="1">
      <c r="A18" s="24"/>
      <c r="B18" s="25" t="s">
        <v>72</v>
      </c>
      <c r="C18" s="26">
        <v>2050</v>
      </c>
      <c r="D18" s="27">
        <v>26.16</v>
      </c>
      <c r="E18" s="26">
        <f t="shared" si="0"/>
        <v>53.63</v>
      </c>
      <c r="F18" s="26">
        <v>2703</v>
      </c>
      <c r="G18" s="26">
        <v>27.56</v>
      </c>
      <c r="H18" s="26">
        <f t="shared" si="1"/>
        <v>74.49</v>
      </c>
      <c r="I18" s="26">
        <f t="shared" si="2"/>
        <v>4753</v>
      </c>
      <c r="J18" s="26">
        <f t="shared" si="3"/>
        <v>128.12</v>
      </c>
    </row>
    <row r="19" spans="1:10" s="12" customFormat="1" ht="14.25" customHeight="1" hidden="1">
      <c r="A19" s="24"/>
      <c r="B19" s="25" t="s">
        <v>73</v>
      </c>
      <c r="C19" s="26">
        <v>4500</v>
      </c>
      <c r="D19" s="27">
        <v>26.16</v>
      </c>
      <c r="E19" s="26">
        <f t="shared" si="0"/>
        <v>117.72</v>
      </c>
      <c r="F19" s="26">
        <v>4426</v>
      </c>
      <c r="G19" s="26">
        <v>27.56</v>
      </c>
      <c r="H19" s="26">
        <f t="shared" si="1"/>
        <v>121.98</v>
      </c>
      <c r="I19" s="26">
        <f t="shared" si="2"/>
        <v>8926</v>
      </c>
      <c r="J19" s="26">
        <f t="shared" si="3"/>
        <v>239.7</v>
      </c>
    </row>
    <row r="20" spans="1:10" s="12" customFormat="1" ht="14.25" customHeight="1" hidden="1">
      <c r="A20" s="24"/>
      <c r="B20" s="25" t="s">
        <v>74</v>
      </c>
      <c r="C20" s="26">
        <v>3261</v>
      </c>
      <c r="D20" s="27">
        <v>26.16</v>
      </c>
      <c r="E20" s="26">
        <f t="shared" si="0"/>
        <v>85.31</v>
      </c>
      <c r="F20" s="26">
        <v>3569</v>
      </c>
      <c r="G20" s="26">
        <v>27.56</v>
      </c>
      <c r="H20" s="26">
        <f t="shared" si="1"/>
        <v>98.36</v>
      </c>
      <c r="I20" s="26">
        <f t="shared" si="2"/>
        <v>6830</v>
      </c>
      <c r="J20" s="26">
        <f t="shared" si="3"/>
        <v>183.67</v>
      </c>
    </row>
    <row r="21" spans="1:10" s="12" customFormat="1" ht="14.25" customHeight="1" hidden="1">
      <c r="A21" s="24"/>
      <c r="B21" s="25" t="s">
        <v>75</v>
      </c>
      <c r="C21" s="26">
        <v>4140</v>
      </c>
      <c r="D21" s="27">
        <v>26.16</v>
      </c>
      <c r="E21" s="26">
        <f t="shared" si="0"/>
        <v>108.3</v>
      </c>
      <c r="F21" s="26">
        <v>4936</v>
      </c>
      <c r="G21" s="26">
        <v>27.56</v>
      </c>
      <c r="H21" s="26">
        <f t="shared" si="1"/>
        <v>136.04</v>
      </c>
      <c r="I21" s="26">
        <f t="shared" si="2"/>
        <v>9076</v>
      </c>
      <c r="J21" s="26">
        <f t="shared" si="3"/>
        <v>244.34</v>
      </c>
    </row>
    <row r="22" spans="1:10" s="12" customFormat="1" ht="14.25" customHeight="1" hidden="1">
      <c r="A22" s="24"/>
      <c r="B22" s="25" t="s">
        <v>76</v>
      </c>
      <c r="C22" s="26">
        <v>2330</v>
      </c>
      <c r="D22" s="27">
        <v>26.16</v>
      </c>
      <c r="E22" s="26">
        <f t="shared" si="0"/>
        <v>60.95</v>
      </c>
      <c r="F22" s="26">
        <v>2926</v>
      </c>
      <c r="G22" s="26">
        <v>27.56</v>
      </c>
      <c r="H22" s="26">
        <f t="shared" si="1"/>
        <v>80.64</v>
      </c>
      <c r="I22" s="26">
        <f t="shared" si="2"/>
        <v>5256</v>
      </c>
      <c r="J22" s="26">
        <f t="shared" si="3"/>
        <v>141.59</v>
      </c>
    </row>
    <row r="23" spans="1:10" s="12" customFormat="1" ht="14.25" customHeight="1" hidden="1">
      <c r="A23" s="24"/>
      <c r="B23" s="25" t="s">
        <v>77</v>
      </c>
      <c r="C23" s="26">
        <v>909</v>
      </c>
      <c r="D23" s="27">
        <v>26.16</v>
      </c>
      <c r="E23" s="26">
        <f t="shared" si="0"/>
        <v>23.78</v>
      </c>
      <c r="F23" s="26">
        <v>1631</v>
      </c>
      <c r="G23" s="26">
        <v>27.56</v>
      </c>
      <c r="H23" s="26">
        <f t="shared" si="1"/>
        <v>44.95</v>
      </c>
      <c r="I23" s="26">
        <f t="shared" si="2"/>
        <v>2540</v>
      </c>
      <c r="J23" s="26">
        <f t="shared" si="3"/>
        <v>68.73</v>
      </c>
    </row>
    <row r="24" spans="1:10" s="12" customFormat="1" ht="14.25" customHeight="1" hidden="1">
      <c r="A24" s="24"/>
      <c r="B24" s="25" t="s">
        <v>78</v>
      </c>
      <c r="C24" s="26">
        <v>1910</v>
      </c>
      <c r="D24" s="27">
        <v>26.16</v>
      </c>
      <c r="E24" s="26">
        <f t="shared" si="0"/>
        <v>49.97</v>
      </c>
      <c r="F24" s="26">
        <v>2816</v>
      </c>
      <c r="G24" s="26">
        <v>27.56</v>
      </c>
      <c r="H24" s="26">
        <f t="shared" si="1"/>
        <v>77.61</v>
      </c>
      <c r="I24" s="26">
        <f t="shared" si="2"/>
        <v>4726</v>
      </c>
      <c r="J24" s="26">
        <f t="shared" si="3"/>
        <v>127.58</v>
      </c>
    </row>
    <row r="25" spans="1:10" s="12" customFormat="1" ht="14.25" customHeight="1" hidden="1">
      <c r="A25" s="24"/>
      <c r="B25" s="25" t="s">
        <v>79</v>
      </c>
      <c r="C25" s="26">
        <v>1700</v>
      </c>
      <c r="D25" s="27">
        <v>26.16</v>
      </c>
      <c r="E25" s="26">
        <f t="shared" si="0"/>
        <v>44.47</v>
      </c>
      <c r="F25" s="26">
        <v>2206</v>
      </c>
      <c r="G25" s="26">
        <v>27.56</v>
      </c>
      <c r="H25" s="26">
        <f t="shared" si="1"/>
        <v>60.8</v>
      </c>
      <c r="I25" s="26">
        <f t="shared" si="2"/>
        <v>3906</v>
      </c>
      <c r="J25" s="26">
        <f t="shared" si="3"/>
        <v>105.27</v>
      </c>
    </row>
    <row r="26" spans="1:10" s="12" customFormat="1" ht="14.25" customHeight="1" hidden="1">
      <c r="A26" s="24"/>
      <c r="B26" s="25" t="s">
        <v>80</v>
      </c>
      <c r="C26" s="26">
        <v>464</v>
      </c>
      <c r="D26" s="27">
        <v>26.16</v>
      </c>
      <c r="E26" s="26">
        <f t="shared" si="0"/>
        <v>12.14</v>
      </c>
      <c r="F26" s="26">
        <v>706</v>
      </c>
      <c r="G26" s="26">
        <v>27.56</v>
      </c>
      <c r="H26" s="26">
        <f t="shared" si="1"/>
        <v>19.46</v>
      </c>
      <c r="I26" s="26">
        <f t="shared" si="2"/>
        <v>1170</v>
      </c>
      <c r="J26" s="26">
        <f t="shared" si="3"/>
        <v>31.6</v>
      </c>
    </row>
    <row r="27" spans="1:10" s="12" customFormat="1" ht="14.25" customHeight="1" hidden="1">
      <c r="A27" s="24"/>
      <c r="B27" s="25" t="s">
        <v>81</v>
      </c>
      <c r="C27" s="26">
        <v>2230</v>
      </c>
      <c r="D27" s="27">
        <v>26.16</v>
      </c>
      <c r="E27" s="26">
        <f t="shared" si="0"/>
        <v>58.34</v>
      </c>
      <c r="F27" s="26">
        <v>3226</v>
      </c>
      <c r="G27" s="26">
        <v>27.56</v>
      </c>
      <c r="H27" s="26">
        <f t="shared" si="1"/>
        <v>88.91</v>
      </c>
      <c r="I27" s="26">
        <f t="shared" si="2"/>
        <v>5456</v>
      </c>
      <c r="J27" s="26">
        <f t="shared" si="3"/>
        <v>147.25</v>
      </c>
    </row>
    <row r="28" spans="1:10" s="12" customFormat="1" ht="14.25" customHeight="1" hidden="1">
      <c r="A28" s="24"/>
      <c r="B28" s="25" t="s">
        <v>82</v>
      </c>
      <c r="C28" s="26">
        <v>1406</v>
      </c>
      <c r="D28" s="27">
        <v>26.16</v>
      </c>
      <c r="E28" s="26">
        <f t="shared" si="0"/>
        <v>36.78</v>
      </c>
      <c r="F28" s="26">
        <v>2210</v>
      </c>
      <c r="G28" s="26">
        <v>27.56</v>
      </c>
      <c r="H28" s="26">
        <f t="shared" si="1"/>
        <v>60.91</v>
      </c>
      <c r="I28" s="26">
        <f t="shared" si="2"/>
        <v>3616</v>
      </c>
      <c r="J28" s="26">
        <f t="shared" si="3"/>
        <v>97.69</v>
      </c>
    </row>
    <row r="29" spans="1:10" s="12" customFormat="1" ht="14.25" customHeight="1" hidden="1">
      <c r="A29" s="24"/>
      <c r="B29" s="25" t="s">
        <v>83</v>
      </c>
      <c r="C29" s="26">
        <v>2820</v>
      </c>
      <c r="D29" s="27">
        <v>26.16</v>
      </c>
      <c r="E29" s="26">
        <f t="shared" si="0"/>
        <v>73.77</v>
      </c>
      <c r="F29" s="26">
        <v>3832</v>
      </c>
      <c r="G29" s="26">
        <v>27.56</v>
      </c>
      <c r="H29" s="26">
        <f t="shared" si="1"/>
        <v>105.61</v>
      </c>
      <c r="I29" s="26">
        <f t="shared" si="2"/>
        <v>6652</v>
      </c>
      <c r="J29" s="26">
        <f t="shared" si="3"/>
        <v>179.38</v>
      </c>
    </row>
    <row r="30" spans="1:10" s="12" customFormat="1" ht="14.25" customHeight="1" hidden="1">
      <c r="A30" s="24"/>
      <c r="B30" s="25" t="s">
        <v>84</v>
      </c>
      <c r="C30" s="26">
        <v>1805</v>
      </c>
      <c r="D30" s="27">
        <v>26.16</v>
      </c>
      <c r="E30" s="26">
        <f t="shared" si="0"/>
        <v>47.22</v>
      </c>
      <c r="F30" s="26">
        <v>2737</v>
      </c>
      <c r="G30" s="26">
        <v>27.56</v>
      </c>
      <c r="H30" s="26">
        <f t="shared" si="1"/>
        <v>75.43</v>
      </c>
      <c r="I30" s="26">
        <f t="shared" si="2"/>
        <v>4542</v>
      </c>
      <c r="J30" s="26">
        <f t="shared" si="3"/>
        <v>122.65</v>
      </c>
    </row>
    <row r="31" spans="1:10" s="12" customFormat="1" ht="14.25" customHeight="1" hidden="1">
      <c r="A31" s="24"/>
      <c r="B31" s="25" t="s">
        <v>85</v>
      </c>
      <c r="C31" s="26">
        <v>2770</v>
      </c>
      <c r="D31" s="27">
        <v>26.16</v>
      </c>
      <c r="E31" s="26">
        <f t="shared" si="0"/>
        <v>72.46</v>
      </c>
      <c r="F31" s="26">
        <v>3492</v>
      </c>
      <c r="G31" s="26">
        <v>27.56</v>
      </c>
      <c r="H31" s="26">
        <f t="shared" si="1"/>
        <v>96.24</v>
      </c>
      <c r="I31" s="26">
        <f t="shared" si="2"/>
        <v>6262</v>
      </c>
      <c r="J31" s="26">
        <f t="shared" si="3"/>
        <v>168.7</v>
      </c>
    </row>
    <row r="32" spans="1:10" s="12" customFormat="1" ht="14.25" customHeight="1" hidden="1">
      <c r="A32" s="24"/>
      <c r="B32" s="25" t="s">
        <v>86</v>
      </c>
      <c r="C32" s="26">
        <v>271</v>
      </c>
      <c r="D32" s="27">
        <v>26.16</v>
      </c>
      <c r="E32" s="26">
        <f t="shared" si="0"/>
        <v>7.09</v>
      </c>
      <c r="F32" s="26">
        <v>515</v>
      </c>
      <c r="G32" s="26">
        <v>27.56</v>
      </c>
      <c r="H32" s="26">
        <f t="shared" si="1"/>
        <v>14.19</v>
      </c>
      <c r="I32" s="26">
        <f t="shared" si="2"/>
        <v>786</v>
      </c>
      <c r="J32" s="26">
        <f t="shared" si="3"/>
        <v>21.28</v>
      </c>
    </row>
    <row r="33" spans="1:10" s="12" customFormat="1" ht="14.25" customHeight="1" hidden="1">
      <c r="A33" s="24"/>
      <c r="B33" s="25" t="s">
        <v>87</v>
      </c>
      <c r="C33" s="26">
        <v>566</v>
      </c>
      <c r="D33" s="27">
        <v>26.16</v>
      </c>
      <c r="E33" s="26">
        <f t="shared" si="0"/>
        <v>14.81</v>
      </c>
      <c r="F33" s="26">
        <v>834</v>
      </c>
      <c r="G33" s="26">
        <v>27.56</v>
      </c>
      <c r="H33" s="26">
        <f t="shared" si="1"/>
        <v>22.99</v>
      </c>
      <c r="I33" s="26">
        <f t="shared" si="2"/>
        <v>1400</v>
      </c>
      <c r="J33" s="26">
        <f t="shared" si="3"/>
        <v>37.8</v>
      </c>
    </row>
    <row r="34" spans="1:10" s="12" customFormat="1" ht="14.25" customHeight="1" hidden="1">
      <c r="A34" s="24"/>
      <c r="B34" s="25" t="s">
        <v>88</v>
      </c>
      <c r="C34" s="26">
        <v>1345</v>
      </c>
      <c r="D34" s="26">
        <f>58.15</f>
        <v>58.15</v>
      </c>
      <c r="E34" s="26">
        <f t="shared" si="0"/>
        <v>78.21</v>
      </c>
      <c r="F34" s="26">
        <v>1953</v>
      </c>
      <c r="G34" s="26">
        <v>61.29</v>
      </c>
      <c r="H34" s="26">
        <f t="shared" si="1"/>
        <v>119.7</v>
      </c>
      <c r="I34" s="26">
        <f t="shared" si="2"/>
        <v>3298</v>
      </c>
      <c r="J34" s="26">
        <f t="shared" si="3"/>
        <v>197.91</v>
      </c>
    </row>
    <row r="35" spans="1:10" s="12" customFormat="1" ht="14.25" customHeight="1" hidden="1">
      <c r="A35" s="24"/>
      <c r="B35" s="25" t="s">
        <v>89</v>
      </c>
      <c r="C35" s="26">
        <v>2810</v>
      </c>
      <c r="D35" s="26">
        <f>58.15</f>
        <v>58.15</v>
      </c>
      <c r="E35" s="26">
        <f t="shared" si="0"/>
        <v>163.4</v>
      </c>
      <c r="F35" s="26">
        <v>3046</v>
      </c>
      <c r="G35" s="26">
        <v>61.29</v>
      </c>
      <c r="H35" s="26">
        <f t="shared" si="1"/>
        <v>186.69</v>
      </c>
      <c r="I35" s="26">
        <f t="shared" si="2"/>
        <v>5856</v>
      </c>
      <c r="J35" s="26">
        <f t="shared" si="3"/>
        <v>350.09</v>
      </c>
    </row>
    <row r="36" spans="1:10" s="12" customFormat="1" ht="14.25" customHeight="1" hidden="1">
      <c r="A36" s="24"/>
      <c r="B36" s="25" t="s">
        <v>90</v>
      </c>
      <c r="C36" s="26">
        <v>1770</v>
      </c>
      <c r="D36" s="26">
        <f>58.15</f>
        <v>58.15</v>
      </c>
      <c r="E36" s="26">
        <f t="shared" si="0"/>
        <v>102.93</v>
      </c>
      <c r="F36" s="26">
        <v>2466</v>
      </c>
      <c r="G36" s="26">
        <v>61.29</v>
      </c>
      <c r="H36" s="26">
        <f t="shared" si="1"/>
        <v>151.14</v>
      </c>
      <c r="I36" s="26">
        <f t="shared" si="2"/>
        <v>4236</v>
      </c>
      <c r="J36" s="26">
        <f t="shared" si="3"/>
        <v>254.07</v>
      </c>
    </row>
    <row r="37" spans="1:10" s="12" customFormat="1" ht="13.5" customHeight="1" hidden="1">
      <c r="A37" s="24"/>
      <c r="B37" s="25" t="s">
        <v>91</v>
      </c>
      <c r="C37" s="26">
        <v>1980</v>
      </c>
      <c r="D37" s="26">
        <f>58.15</f>
        <v>58.15</v>
      </c>
      <c r="E37" s="26">
        <f t="shared" si="0"/>
        <v>115.14</v>
      </c>
      <c r="F37" s="26">
        <v>2750</v>
      </c>
      <c r="G37" s="26">
        <v>61.29</v>
      </c>
      <c r="H37" s="26">
        <f t="shared" si="1"/>
        <v>168.55</v>
      </c>
      <c r="I37" s="26">
        <f t="shared" si="2"/>
        <v>4730</v>
      </c>
      <c r="J37" s="26">
        <f t="shared" si="3"/>
        <v>283.69</v>
      </c>
    </row>
    <row r="38" spans="1:10" s="12" customFormat="1" ht="20.25" customHeight="1" hidden="1">
      <c r="A38" s="24"/>
      <c r="B38" s="25" t="s">
        <v>53</v>
      </c>
      <c r="C38" s="26">
        <v>2440</v>
      </c>
      <c r="D38" s="27">
        <v>26.16</v>
      </c>
      <c r="E38" s="26">
        <f t="shared" si="0"/>
        <v>63.83</v>
      </c>
      <c r="F38" s="26">
        <v>2136</v>
      </c>
      <c r="G38" s="26">
        <v>27.56</v>
      </c>
      <c r="H38" s="27">
        <f t="shared" si="1"/>
        <v>58.87</v>
      </c>
      <c r="I38" s="26">
        <f t="shared" si="2"/>
        <v>4576</v>
      </c>
      <c r="J38" s="26">
        <f t="shared" si="3"/>
        <v>122.7</v>
      </c>
    </row>
    <row r="39" spans="1:10" s="12" customFormat="1" ht="20.25" customHeight="1" hidden="1">
      <c r="A39" s="24"/>
      <c r="B39" s="58" t="s">
        <v>131</v>
      </c>
      <c r="C39" s="26">
        <v>2048</v>
      </c>
      <c r="D39" s="27">
        <v>26.16</v>
      </c>
      <c r="E39" s="26">
        <f>C39*D39/1000</f>
        <v>53.58</v>
      </c>
      <c r="F39" s="26">
        <v>2710</v>
      </c>
      <c r="G39" s="26">
        <v>27.56</v>
      </c>
      <c r="H39" s="27">
        <f>F39*G39/1000</f>
        <v>74.69</v>
      </c>
      <c r="I39" s="26">
        <f>C39+F39</f>
        <v>4758</v>
      </c>
      <c r="J39" s="26">
        <f>H39+E39</f>
        <v>128.27</v>
      </c>
    </row>
    <row r="40" spans="1:10" s="12" customFormat="1" ht="19.5" customHeight="1">
      <c r="A40" s="24">
        <v>4</v>
      </c>
      <c r="B40" s="25" t="s">
        <v>124</v>
      </c>
      <c r="C40" s="70">
        <f>SUM(C41:C57)</f>
        <v>2118.37</v>
      </c>
      <c r="D40" s="26">
        <f>58.15*1.105</f>
        <v>64.26</v>
      </c>
      <c r="E40" s="70">
        <f>SUM(E41:E57)</f>
        <v>89.05</v>
      </c>
      <c r="F40" s="70">
        <f>SUM(F41:F57)</f>
        <v>1790.05</v>
      </c>
      <c r="G40" s="26">
        <f>D40</f>
        <v>64.26</v>
      </c>
      <c r="H40" s="70">
        <f>SUM(H41:H57)</f>
        <v>66.38</v>
      </c>
      <c r="I40" s="70">
        <f>C40+F40</f>
        <v>3908.42</v>
      </c>
      <c r="J40" s="70">
        <f>H40+E40</f>
        <v>155.43</v>
      </c>
    </row>
    <row r="41" spans="1:10" s="12" customFormat="1" ht="14.25" customHeight="1" hidden="1">
      <c r="A41" s="24"/>
      <c r="B41" s="25" t="s">
        <v>4</v>
      </c>
      <c r="C41" s="26">
        <v>64.22</v>
      </c>
      <c r="D41" s="26">
        <v>26.16</v>
      </c>
      <c r="E41" s="26">
        <f t="shared" si="0"/>
        <v>1.68</v>
      </c>
      <c r="F41" s="26">
        <v>143.78</v>
      </c>
      <c r="G41" s="26">
        <v>27.56</v>
      </c>
      <c r="H41" s="26">
        <f t="shared" si="1"/>
        <v>3.96</v>
      </c>
      <c r="I41" s="26">
        <f t="shared" si="2"/>
        <v>208</v>
      </c>
      <c r="J41" s="26">
        <f t="shared" si="3"/>
        <v>5.64</v>
      </c>
    </row>
    <row r="42" spans="1:10" s="12" customFormat="1" ht="14.25" customHeight="1" hidden="1">
      <c r="A42" s="28"/>
      <c r="B42" s="68" t="s">
        <v>39</v>
      </c>
      <c r="C42" s="26"/>
      <c r="D42" s="27"/>
      <c r="E42" s="26"/>
      <c r="F42" s="26"/>
      <c r="G42" s="27"/>
      <c r="H42" s="26"/>
      <c r="I42" s="26"/>
      <c r="J42" s="26"/>
    </row>
    <row r="43" spans="1:10" s="12" customFormat="1" ht="14.25" customHeight="1" hidden="1">
      <c r="A43" s="30"/>
      <c r="B43" s="69" t="s">
        <v>38</v>
      </c>
      <c r="C43" s="26"/>
      <c r="D43" s="27"/>
      <c r="E43" s="27"/>
      <c r="F43" s="26"/>
      <c r="G43" s="26"/>
      <c r="H43" s="27"/>
      <c r="I43" s="27"/>
      <c r="J43" s="27"/>
    </row>
    <row r="44" spans="1:10" s="12" customFormat="1" ht="14.25" customHeight="1" hidden="1">
      <c r="A44" s="30"/>
      <c r="B44" s="69" t="s">
        <v>40</v>
      </c>
      <c r="C44" s="26"/>
      <c r="D44" s="27"/>
      <c r="E44" s="27"/>
      <c r="F44" s="26"/>
      <c r="G44" s="26"/>
      <c r="H44" s="27"/>
      <c r="I44" s="27"/>
      <c r="J44" s="27"/>
    </row>
    <row r="45" spans="1:10" s="12" customFormat="1" ht="14.25" customHeight="1" hidden="1">
      <c r="A45" s="28"/>
      <c r="B45" s="31" t="s">
        <v>63</v>
      </c>
      <c r="C45" s="26">
        <v>218.64</v>
      </c>
      <c r="D45" s="27">
        <v>26.16</v>
      </c>
      <c r="E45" s="27">
        <f t="shared" si="0"/>
        <v>5.72</v>
      </c>
      <c r="F45" s="26">
        <v>111.36</v>
      </c>
      <c r="G45" s="26">
        <v>27.56</v>
      </c>
      <c r="H45" s="27">
        <f t="shared" si="1"/>
        <v>3.07</v>
      </c>
      <c r="I45" s="27">
        <f t="shared" si="2"/>
        <v>330</v>
      </c>
      <c r="J45" s="27">
        <f t="shared" si="3"/>
        <v>8.79</v>
      </c>
    </row>
    <row r="46" spans="1:10" s="12" customFormat="1" ht="14.25" customHeight="1" hidden="1">
      <c r="A46" s="28"/>
      <c r="B46" s="31" t="s">
        <v>92</v>
      </c>
      <c r="C46" s="26">
        <v>167.88</v>
      </c>
      <c r="D46" s="27">
        <v>26.16</v>
      </c>
      <c r="E46" s="27">
        <f t="shared" si="0"/>
        <v>4.39</v>
      </c>
      <c r="F46" s="26">
        <v>222.82</v>
      </c>
      <c r="G46" s="26">
        <v>27.56</v>
      </c>
      <c r="H46" s="27">
        <f t="shared" si="1"/>
        <v>6.14</v>
      </c>
      <c r="I46" s="27">
        <f t="shared" si="2"/>
        <v>390.7</v>
      </c>
      <c r="J46" s="27">
        <f t="shared" si="3"/>
        <v>10.53</v>
      </c>
    </row>
    <row r="47" spans="1:10" s="12" customFormat="1" ht="25.5" customHeight="1" hidden="1">
      <c r="A47" s="28"/>
      <c r="B47" s="31" t="s">
        <v>93</v>
      </c>
      <c r="C47" s="26"/>
      <c r="D47" s="27"/>
      <c r="E47" s="26"/>
      <c r="F47" s="26"/>
      <c r="G47" s="27"/>
      <c r="H47" s="26"/>
      <c r="I47" s="26"/>
      <c r="J47" s="26"/>
    </row>
    <row r="48" spans="1:10" s="12" customFormat="1" ht="14.25" customHeight="1" hidden="1">
      <c r="A48" s="28"/>
      <c r="B48" s="69" t="s">
        <v>94</v>
      </c>
      <c r="C48" s="26">
        <v>24.84</v>
      </c>
      <c r="D48" s="27">
        <v>26.16</v>
      </c>
      <c r="E48" s="27">
        <f t="shared" si="0"/>
        <v>0.65</v>
      </c>
      <c r="F48" s="26">
        <v>235.16</v>
      </c>
      <c r="G48" s="26">
        <v>27.56</v>
      </c>
      <c r="H48" s="27">
        <f t="shared" si="1"/>
        <v>6.48</v>
      </c>
      <c r="I48" s="27">
        <f t="shared" si="2"/>
        <v>260</v>
      </c>
      <c r="J48" s="27">
        <f t="shared" si="3"/>
        <v>7.13</v>
      </c>
    </row>
    <row r="49" spans="1:10" s="12" customFormat="1" ht="14.25" customHeight="1" hidden="1">
      <c r="A49" s="28"/>
      <c r="B49" s="69" t="s">
        <v>95</v>
      </c>
      <c r="C49" s="26">
        <v>198.46</v>
      </c>
      <c r="D49" s="27">
        <v>26.16</v>
      </c>
      <c r="E49" s="27">
        <f t="shared" si="0"/>
        <v>5.19</v>
      </c>
      <c r="F49" s="26">
        <v>50.14</v>
      </c>
      <c r="G49" s="26">
        <v>27.56</v>
      </c>
      <c r="H49" s="27">
        <f t="shared" si="1"/>
        <v>1.38</v>
      </c>
      <c r="I49" s="27">
        <f t="shared" si="2"/>
        <v>248.6</v>
      </c>
      <c r="J49" s="27">
        <f t="shared" si="3"/>
        <v>6.57</v>
      </c>
    </row>
    <row r="50" spans="1:10" s="12" customFormat="1" ht="14.25" customHeight="1" hidden="1">
      <c r="A50" s="28"/>
      <c r="B50" s="69" t="s">
        <v>148</v>
      </c>
      <c r="C50" s="26">
        <v>14.9</v>
      </c>
      <c r="D50" s="27">
        <v>26.16</v>
      </c>
      <c r="E50" s="27">
        <f t="shared" si="0"/>
        <v>0.39</v>
      </c>
      <c r="F50" s="26">
        <v>96.19</v>
      </c>
      <c r="G50" s="26">
        <v>27.56</v>
      </c>
      <c r="H50" s="27">
        <f t="shared" si="1"/>
        <v>2.65</v>
      </c>
      <c r="I50" s="27">
        <f t="shared" si="2"/>
        <v>111.09</v>
      </c>
      <c r="J50" s="27">
        <f t="shared" si="3"/>
        <v>3.04</v>
      </c>
    </row>
    <row r="51" spans="1:10" s="12" customFormat="1" ht="14.25" customHeight="1" hidden="1">
      <c r="A51" s="28"/>
      <c r="B51" s="69" t="s">
        <v>96</v>
      </c>
      <c r="C51" s="26">
        <v>38.25</v>
      </c>
      <c r="D51" s="27">
        <v>26.16</v>
      </c>
      <c r="E51" s="27">
        <f t="shared" si="0"/>
        <v>1</v>
      </c>
      <c r="F51" s="26">
        <v>111.53</v>
      </c>
      <c r="G51" s="26">
        <v>27.56</v>
      </c>
      <c r="H51" s="27">
        <f t="shared" si="1"/>
        <v>3.07</v>
      </c>
      <c r="I51" s="27">
        <f t="shared" si="2"/>
        <v>149.78</v>
      </c>
      <c r="J51" s="27">
        <f t="shared" si="3"/>
        <v>4.07</v>
      </c>
    </row>
    <row r="52" spans="1:10" s="12" customFormat="1" ht="14.25" customHeight="1" hidden="1">
      <c r="A52" s="28"/>
      <c r="B52" s="69" t="s">
        <v>97</v>
      </c>
      <c r="C52" s="26"/>
      <c r="D52" s="27"/>
      <c r="E52" s="27"/>
      <c r="F52" s="26"/>
      <c r="G52" s="26"/>
      <c r="H52" s="27"/>
      <c r="I52" s="27"/>
      <c r="J52" s="27"/>
    </row>
    <row r="53" spans="1:10" s="12" customFormat="1" ht="14.25" customHeight="1" hidden="1">
      <c r="A53" s="28"/>
      <c r="B53" s="69" t="s">
        <v>98</v>
      </c>
      <c r="C53" s="26">
        <v>9.15</v>
      </c>
      <c r="D53" s="27">
        <v>26.16</v>
      </c>
      <c r="E53" s="27">
        <f t="shared" si="0"/>
        <v>0.24</v>
      </c>
      <c r="F53" s="26">
        <v>87.45</v>
      </c>
      <c r="G53" s="26">
        <v>27.56</v>
      </c>
      <c r="H53" s="27">
        <f t="shared" si="1"/>
        <v>2.41</v>
      </c>
      <c r="I53" s="27">
        <f t="shared" si="2"/>
        <v>96.6</v>
      </c>
      <c r="J53" s="27">
        <f t="shared" si="3"/>
        <v>2.65</v>
      </c>
    </row>
    <row r="54" spans="1:10" s="12" customFormat="1" ht="13.5" customHeight="1" hidden="1">
      <c r="A54" s="28"/>
      <c r="B54" s="69" t="s">
        <v>99</v>
      </c>
      <c r="C54" s="26">
        <v>362.3</v>
      </c>
      <c r="D54" s="26">
        <f>58.15</f>
        <v>58.15</v>
      </c>
      <c r="E54" s="27">
        <f t="shared" si="0"/>
        <v>21.07</v>
      </c>
      <c r="F54" s="26">
        <v>177.7</v>
      </c>
      <c r="G54" s="27">
        <v>61.29</v>
      </c>
      <c r="H54" s="27">
        <f t="shared" si="1"/>
        <v>10.89</v>
      </c>
      <c r="I54" s="27">
        <f t="shared" si="2"/>
        <v>540</v>
      </c>
      <c r="J54" s="27">
        <f t="shared" si="3"/>
        <v>31.96</v>
      </c>
    </row>
    <row r="55" spans="1:10" s="12" customFormat="1" ht="14.25" customHeight="1" hidden="1">
      <c r="A55" s="28"/>
      <c r="B55" s="31" t="s">
        <v>100</v>
      </c>
      <c r="C55" s="26">
        <v>289.46</v>
      </c>
      <c r="D55" s="26">
        <f>58.15</f>
        <v>58.15</v>
      </c>
      <c r="E55" s="27">
        <f t="shared" si="0"/>
        <v>16.83</v>
      </c>
      <c r="F55" s="26">
        <v>112.96</v>
      </c>
      <c r="G55" s="27">
        <v>61.29</v>
      </c>
      <c r="H55" s="27">
        <f t="shared" si="1"/>
        <v>6.92</v>
      </c>
      <c r="I55" s="27">
        <f t="shared" si="2"/>
        <v>402.42</v>
      </c>
      <c r="J55" s="27">
        <f t="shared" si="3"/>
        <v>23.75</v>
      </c>
    </row>
    <row r="56" spans="1:10" s="12" customFormat="1" ht="14.25" customHeight="1" hidden="1">
      <c r="A56" s="28"/>
      <c r="B56" s="31" t="s">
        <v>101</v>
      </c>
      <c r="C56" s="26">
        <v>330.38</v>
      </c>
      <c r="D56" s="27">
        <v>26.16</v>
      </c>
      <c r="E56" s="27">
        <f t="shared" si="0"/>
        <v>8.64</v>
      </c>
      <c r="F56" s="26">
        <v>225.77</v>
      </c>
      <c r="G56" s="26">
        <v>27.56</v>
      </c>
      <c r="H56" s="27">
        <f t="shared" si="1"/>
        <v>6.22</v>
      </c>
      <c r="I56" s="27">
        <f t="shared" si="2"/>
        <v>556.15</v>
      </c>
      <c r="J56" s="27">
        <f t="shared" si="3"/>
        <v>14.86</v>
      </c>
    </row>
    <row r="57" spans="1:10" s="12" customFormat="1" ht="14.25" customHeight="1" hidden="1">
      <c r="A57" s="28"/>
      <c r="B57" s="31" t="s">
        <v>102</v>
      </c>
      <c r="C57" s="26">
        <v>399.89</v>
      </c>
      <c r="D57" s="26">
        <f>58.15</f>
        <v>58.15</v>
      </c>
      <c r="E57" s="27">
        <f t="shared" si="0"/>
        <v>23.25</v>
      </c>
      <c r="F57" s="26">
        <v>215.19</v>
      </c>
      <c r="G57" s="27">
        <v>61.29</v>
      </c>
      <c r="H57" s="27">
        <f t="shared" si="1"/>
        <v>13.19</v>
      </c>
      <c r="I57" s="27">
        <f t="shared" si="2"/>
        <v>615.08</v>
      </c>
      <c r="J57" s="27">
        <f t="shared" si="3"/>
        <v>36.44</v>
      </c>
    </row>
    <row r="58" spans="1:10" s="12" customFormat="1" ht="20.25" customHeight="1">
      <c r="A58" s="24"/>
      <c r="B58" s="25" t="s">
        <v>57</v>
      </c>
      <c r="C58" s="26">
        <v>0</v>
      </c>
      <c r="D58" s="26">
        <v>0</v>
      </c>
      <c r="E58" s="26">
        <f aca="true" t="shared" si="4" ref="E58:E70">C58*D58/1000</f>
        <v>0</v>
      </c>
      <c r="F58" s="26">
        <v>0</v>
      </c>
      <c r="G58" s="27">
        <f>D58</f>
        <v>0</v>
      </c>
      <c r="H58" s="26">
        <f aca="true" t="shared" si="5" ref="H58:H70">F58*G58/1000</f>
        <v>0</v>
      </c>
      <c r="I58" s="26">
        <f aca="true" t="shared" si="6" ref="I58:I70">C58+F58</f>
        <v>0</v>
      </c>
      <c r="J58" s="26">
        <f aca="true" t="shared" si="7" ref="J58:J70">H58+E58</f>
        <v>0</v>
      </c>
    </row>
    <row r="59" spans="1:10" s="12" customFormat="1" ht="20.25" customHeight="1">
      <c r="A59" s="24">
        <v>5</v>
      </c>
      <c r="B59" s="25" t="s">
        <v>58</v>
      </c>
      <c r="C59" s="26">
        <f>'ПРИЛОЖ №2'!C59+ПРИЛОЖ№3!C59</f>
        <v>0</v>
      </c>
      <c r="D59" s="26">
        <v>0</v>
      </c>
      <c r="E59" s="26">
        <f t="shared" si="4"/>
        <v>0</v>
      </c>
      <c r="F59" s="26">
        <f>'ПРИЛОЖ №2'!C59+ПРИЛОЖ№3!F59</f>
        <v>0</v>
      </c>
      <c r="G59" s="26">
        <v>0</v>
      </c>
      <c r="H59" s="26">
        <f t="shared" si="5"/>
        <v>0</v>
      </c>
      <c r="I59" s="26">
        <f t="shared" si="6"/>
        <v>0</v>
      </c>
      <c r="J59" s="26">
        <f t="shared" si="7"/>
        <v>0</v>
      </c>
    </row>
    <row r="60" spans="1:10" s="12" customFormat="1" ht="21.75" customHeight="1">
      <c r="A60" s="24">
        <v>6</v>
      </c>
      <c r="B60" s="25" t="s">
        <v>103</v>
      </c>
      <c r="C60" s="26">
        <v>0</v>
      </c>
      <c r="D60" s="26">
        <v>0</v>
      </c>
      <c r="E60" s="26">
        <f t="shared" si="4"/>
        <v>0</v>
      </c>
      <c r="F60" s="26">
        <v>0</v>
      </c>
      <c r="G60" s="26">
        <v>0</v>
      </c>
      <c r="H60" s="26">
        <f t="shared" si="5"/>
        <v>0</v>
      </c>
      <c r="I60" s="26">
        <v>0</v>
      </c>
      <c r="J60" s="26">
        <f t="shared" si="7"/>
        <v>0</v>
      </c>
    </row>
    <row r="61" spans="1:10" s="12" customFormat="1" ht="21.75" customHeight="1">
      <c r="A61" s="24">
        <v>7</v>
      </c>
      <c r="B61" s="25" t="s">
        <v>125</v>
      </c>
      <c r="C61" s="70">
        <f>C62+C63+C64</f>
        <v>7134.03</v>
      </c>
      <c r="D61" s="26">
        <f>E61/C61*1000</f>
        <v>26.38</v>
      </c>
      <c r="E61" s="70">
        <f>E62+E63+E64</f>
        <v>188.17</v>
      </c>
      <c r="F61" s="70">
        <f>F62+F63+F64</f>
        <v>7134.03</v>
      </c>
      <c r="G61" s="26">
        <f>H61/F61*1000</f>
        <v>27.79</v>
      </c>
      <c r="H61" s="70">
        <f>H62+H63+H64</f>
        <v>198.24</v>
      </c>
      <c r="I61" s="70">
        <f>I62+I63+I64</f>
        <v>14268.06</v>
      </c>
      <c r="J61" s="70">
        <f>J62+J63+J64</f>
        <v>386.41</v>
      </c>
    </row>
    <row r="62" spans="1:10" s="12" customFormat="1" ht="14.25" customHeight="1" hidden="1">
      <c r="A62" s="24"/>
      <c r="B62" s="25" t="s">
        <v>104</v>
      </c>
      <c r="C62" s="26">
        <v>58.2</v>
      </c>
      <c r="D62" s="26">
        <v>26.16</v>
      </c>
      <c r="E62" s="26">
        <f t="shared" si="4"/>
        <v>1.52</v>
      </c>
      <c r="F62" s="26">
        <v>58.2</v>
      </c>
      <c r="G62" s="26">
        <v>27.56</v>
      </c>
      <c r="H62" s="26">
        <f t="shared" si="5"/>
        <v>1.6</v>
      </c>
      <c r="I62" s="26">
        <f t="shared" si="6"/>
        <v>116.4</v>
      </c>
      <c r="J62" s="26">
        <f t="shared" si="7"/>
        <v>3.12</v>
      </c>
    </row>
    <row r="63" spans="1:10" s="12" customFormat="1" ht="14.25" customHeight="1" hidden="1">
      <c r="A63" s="117"/>
      <c r="B63" s="121" t="s">
        <v>105</v>
      </c>
      <c r="C63" s="26">
        <v>7027.48</v>
      </c>
      <c r="D63" s="26">
        <v>26.16</v>
      </c>
      <c r="E63" s="26">
        <f t="shared" si="4"/>
        <v>183.84</v>
      </c>
      <c r="F63" s="26">
        <v>7027.48</v>
      </c>
      <c r="G63" s="26">
        <v>27.56</v>
      </c>
      <c r="H63" s="26">
        <f t="shared" si="5"/>
        <v>193.68</v>
      </c>
      <c r="I63" s="26">
        <f t="shared" si="6"/>
        <v>14054.96</v>
      </c>
      <c r="J63" s="26">
        <f t="shared" si="7"/>
        <v>377.52</v>
      </c>
    </row>
    <row r="64" spans="1:10" s="12" customFormat="1" ht="14.25" customHeight="1" hidden="1">
      <c r="A64" s="118"/>
      <c r="B64" s="122"/>
      <c r="C64" s="26">
        <v>48.35</v>
      </c>
      <c r="D64" s="26">
        <f>58.15</f>
        <v>58.15</v>
      </c>
      <c r="E64" s="27">
        <f t="shared" si="4"/>
        <v>2.81</v>
      </c>
      <c r="F64" s="26">
        <v>48.35</v>
      </c>
      <c r="G64" s="27">
        <v>61.29</v>
      </c>
      <c r="H64" s="27">
        <f t="shared" si="5"/>
        <v>2.96</v>
      </c>
      <c r="I64" s="27">
        <f t="shared" si="6"/>
        <v>96.7</v>
      </c>
      <c r="J64" s="27">
        <f t="shared" si="7"/>
        <v>5.77</v>
      </c>
    </row>
    <row r="65" spans="1:10" s="12" customFormat="1" ht="19.5" customHeight="1">
      <c r="A65" s="24">
        <v>8</v>
      </c>
      <c r="B65" s="25" t="s">
        <v>106</v>
      </c>
      <c r="C65" s="26">
        <v>0</v>
      </c>
      <c r="D65" s="26">
        <v>0</v>
      </c>
      <c r="E65" s="26">
        <f t="shared" si="4"/>
        <v>0</v>
      </c>
      <c r="F65" s="26">
        <v>0</v>
      </c>
      <c r="G65" s="26">
        <v>0</v>
      </c>
      <c r="H65" s="26">
        <f t="shared" si="5"/>
        <v>0</v>
      </c>
      <c r="I65" s="26">
        <f t="shared" si="6"/>
        <v>0</v>
      </c>
      <c r="J65" s="26">
        <f t="shared" si="7"/>
        <v>0</v>
      </c>
    </row>
    <row r="66" spans="1:10" s="12" customFormat="1" ht="14.25" customHeight="1" hidden="1">
      <c r="A66" s="24"/>
      <c r="B66" s="25" t="s">
        <v>6</v>
      </c>
      <c r="C66" s="26">
        <v>0</v>
      </c>
      <c r="D66" s="26">
        <v>0</v>
      </c>
      <c r="E66" s="26">
        <f>C66*D66/1000</f>
        <v>0</v>
      </c>
      <c r="F66" s="26">
        <v>0</v>
      </c>
      <c r="G66" s="26">
        <v>0</v>
      </c>
      <c r="H66" s="26">
        <f t="shared" si="5"/>
        <v>0</v>
      </c>
      <c r="I66" s="26">
        <f t="shared" si="6"/>
        <v>0</v>
      </c>
      <c r="J66" s="26">
        <f t="shared" si="7"/>
        <v>0</v>
      </c>
    </row>
    <row r="67" spans="1:10" s="12" customFormat="1" ht="19.5" customHeight="1" hidden="1">
      <c r="A67" s="24"/>
      <c r="B67" s="25" t="s">
        <v>107</v>
      </c>
      <c r="C67" s="26">
        <f>'ПРИЛОЖ №2'!C66+ПРИЛОЖ№3!C67</f>
        <v>0</v>
      </c>
      <c r="D67" s="26">
        <v>0</v>
      </c>
      <c r="E67" s="26">
        <f t="shared" si="4"/>
        <v>0</v>
      </c>
      <c r="F67" s="26">
        <f>'ПРИЛОЖ №2'!C66+ПРИЛОЖ№3!F67</f>
        <v>0</v>
      </c>
      <c r="G67" s="26">
        <v>0</v>
      </c>
      <c r="H67" s="26">
        <f t="shared" si="5"/>
        <v>0</v>
      </c>
      <c r="I67" s="26">
        <f t="shared" si="6"/>
        <v>0</v>
      </c>
      <c r="J67" s="26">
        <f t="shared" si="7"/>
        <v>0</v>
      </c>
    </row>
    <row r="68" spans="1:10" s="12" customFormat="1" ht="26.25" customHeight="1">
      <c r="A68" s="24">
        <v>9</v>
      </c>
      <c r="B68" s="25" t="s">
        <v>47</v>
      </c>
      <c r="C68" s="70">
        <f>C69+C70</f>
        <v>976</v>
      </c>
      <c r="D68" s="26">
        <f>E68/C68*1000</f>
        <v>79.39</v>
      </c>
      <c r="E68" s="70">
        <f>E69+E70</f>
        <v>77.48</v>
      </c>
      <c r="F68" s="70">
        <f>F69+F70</f>
        <v>906.06</v>
      </c>
      <c r="G68" s="26">
        <f>H68/F68*1000</f>
        <v>125.66</v>
      </c>
      <c r="H68" s="70">
        <f>H69+H70</f>
        <v>113.86</v>
      </c>
      <c r="I68" s="70">
        <f>I69+I70</f>
        <v>1882.06</v>
      </c>
      <c r="J68" s="70">
        <f>J69+J70</f>
        <v>191.34</v>
      </c>
    </row>
    <row r="69" spans="1:10" s="12" customFormat="1" ht="26.25" customHeight="1" hidden="1">
      <c r="A69" s="24"/>
      <c r="B69" s="25" t="s">
        <v>47</v>
      </c>
      <c r="C69" s="26">
        <v>240</v>
      </c>
      <c r="D69" s="27">
        <v>242.63</v>
      </c>
      <c r="E69" s="26">
        <f t="shared" si="4"/>
        <v>58.23</v>
      </c>
      <c r="F69" s="26">
        <v>389.54</v>
      </c>
      <c r="G69" s="26">
        <v>255.73</v>
      </c>
      <c r="H69" s="26">
        <f t="shared" si="5"/>
        <v>99.62</v>
      </c>
      <c r="I69" s="26">
        <f t="shared" si="6"/>
        <v>629.54</v>
      </c>
      <c r="J69" s="26">
        <f t="shared" si="7"/>
        <v>157.85</v>
      </c>
    </row>
    <row r="70" spans="1:10" s="12" customFormat="1" ht="29.25" customHeight="1" hidden="1">
      <c r="A70" s="47"/>
      <c r="B70" s="25" t="s">
        <v>52</v>
      </c>
      <c r="C70" s="26">
        <v>736</v>
      </c>
      <c r="D70" s="27">
        <v>26.16</v>
      </c>
      <c r="E70" s="26">
        <f t="shared" si="4"/>
        <v>19.25</v>
      </c>
      <c r="F70" s="26">
        <v>516.52</v>
      </c>
      <c r="G70" s="26">
        <v>27.56</v>
      </c>
      <c r="H70" s="26">
        <f t="shared" si="5"/>
        <v>14.24</v>
      </c>
      <c r="I70" s="26">
        <f t="shared" si="6"/>
        <v>1252.52</v>
      </c>
      <c r="J70" s="26">
        <f t="shared" si="7"/>
        <v>33.49</v>
      </c>
    </row>
    <row r="71" spans="1:10" s="5" customFormat="1" ht="22.5" customHeight="1">
      <c r="A71" s="103" t="s">
        <v>34</v>
      </c>
      <c r="B71" s="104"/>
      <c r="C71" s="32">
        <f>C68+C65+C61+C60+C59+C58+C40+C16+C15+C14</f>
        <v>56586.03</v>
      </c>
      <c r="D71" s="32">
        <f>E71/C71*1000</f>
        <v>35.08</v>
      </c>
      <c r="E71" s="32">
        <f>E68+E65+E61+E60+E59+E58+E40+E16+E15+E14</f>
        <v>1984.85</v>
      </c>
      <c r="F71" s="32">
        <f>F68+F65+F61+F60+F59+F58+F40+F16+F15+F14</f>
        <v>68904.13</v>
      </c>
      <c r="G71" s="32">
        <f>H71/F71*1000</f>
        <v>38.01</v>
      </c>
      <c r="H71" s="32">
        <f>H68+H65+H61+H60+H59+H58+H40+H16+H15+H14</f>
        <v>2619.32</v>
      </c>
      <c r="I71" s="32">
        <f>I68+I65+I61+I60+I59+I58+I40+I16+I15+I14</f>
        <v>125490.16</v>
      </c>
      <c r="J71" s="32">
        <f>J68+J65+J61+J60+J59+J58+J40+J16+J15+J14</f>
        <v>4604.17</v>
      </c>
    </row>
    <row r="72" spans="1:10" ht="12.75">
      <c r="A72" s="15"/>
      <c r="B72" s="16"/>
      <c r="C72" s="45"/>
      <c r="D72" s="12"/>
      <c r="E72" s="12"/>
      <c r="F72" s="45"/>
      <c r="G72" s="12"/>
      <c r="H72" s="12"/>
      <c r="I72" s="45"/>
      <c r="J72" s="12"/>
    </row>
    <row r="73" spans="1:10" ht="12.75">
      <c r="A73" s="15"/>
      <c r="B73" s="16"/>
      <c r="C73" s="12"/>
      <c r="D73" s="12"/>
      <c r="E73" s="12"/>
      <c r="F73" s="1"/>
      <c r="G73" s="12"/>
      <c r="H73" s="12"/>
      <c r="I73" s="45"/>
      <c r="J73" s="12"/>
    </row>
    <row r="74" spans="1:10" ht="12.75">
      <c r="A74" s="15"/>
      <c r="B74" s="16"/>
      <c r="C74" s="12"/>
      <c r="D74" s="12"/>
      <c r="E74" s="12"/>
      <c r="F74" s="12"/>
      <c r="G74" s="12"/>
      <c r="H74" s="12"/>
      <c r="I74" s="12"/>
      <c r="J74" s="45"/>
    </row>
    <row r="75" spans="1:10" ht="12.75">
      <c r="A75" s="15"/>
      <c r="B75" s="16"/>
      <c r="C75" s="12"/>
      <c r="D75" s="12"/>
      <c r="E75" s="12"/>
      <c r="F75" s="12"/>
      <c r="G75" s="12"/>
      <c r="H75" s="12"/>
      <c r="I75" s="45"/>
      <c r="J75" s="12"/>
    </row>
    <row r="76" spans="1:10" ht="12.75">
      <c r="A76" s="15"/>
      <c r="B76" s="16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5"/>
      <c r="B77" s="16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5"/>
      <c r="B78" s="16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5"/>
      <c r="B79" s="16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15"/>
      <c r="B80" s="16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15"/>
      <c r="B81" s="16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15"/>
      <c r="B82" s="16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15"/>
      <c r="B83" s="16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15"/>
      <c r="B84" s="16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15"/>
      <c r="B85" s="16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15"/>
      <c r="B86" s="16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15"/>
      <c r="B87" s="16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5"/>
      <c r="B88" s="16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5"/>
      <c r="B89" s="16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5"/>
      <c r="B90" s="16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5"/>
      <c r="B91" s="16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5"/>
      <c r="B92" s="16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15"/>
      <c r="B93" s="16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15"/>
      <c r="B94" s="16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15"/>
      <c r="B95" s="16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15"/>
      <c r="B96" s="16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15"/>
      <c r="B97" s="16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15"/>
      <c r="B98" s="16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15"/>
      <c r="B99" s="16"/>
      <c r="C99" s="12"/>
      <c r="D99" s="12"/>
      <c r="E99" s="12"/>
      <c r="F99" s="12"/>
      <c r="G99" s="12"/>
      <c r="H99" s="12"/>
      <c r="I99" s="12"/>
      <c r="J99" s="12"/>
    </row>
    <row r="100" spans="1:10" ht="12.75">
      <c r="A100" s="15"/>
      <c r="B100" s="16"/>
      <c r="C100" s="12"/>
      <c r="D100" s="12"/>
      <c r="E100" s="12"/>
      <c r="F100" s="12"/>
      <c r="G100" s="12"/>
      <c r="H100" s="12"/>
      <c r="I100" s="12"/>
      <c r="J100" s="12"/>
    </row>
    <row r="101" spans="1:10" ht="12.75">
      <c r="A101" s="15"/>
      <c r="B101" s="16"/>
      <c r="C101" s="12"/>
      <c r="D101" s="12"/>
      <c r="E101" s="12"/>
      <c r="F101" s="12"/>
      <c r="G101" s="12"/>
      <c r="H101" s="12"/>
      <c r="I101" s="12"/>
      <c r="J101" s="12"/>
    </row>
    <row r="102" spans="1:10" ht="12.75">
      <c r="A102" s="15"/>
      <c r="B102" s="16"/>
      <c r="C102" s="12"/>
      <c r="D102" s="12"/>
      <c r="E102" s="12"/>
      <c r="F102" s="12"/>
      <c r="G102" s="12"/>
      <c r="H102" s="12"/>
      <c r="I102" s="12"/>
      <c r="J102" s="12"/>
    </row>
    <row r="103" spans="1:10" ht="12.75">
      <c r="A103" s="15"/>
      <c r="B103" s="16"/>
      <c r="C103" s="12"/>
      <c r="D103" s="12"/>
      <c r="E103" s="12"/>
      <c r="F103" s="12"/>
      <c r="G103" s="12"/>
      <c r="H103" s="12"/>
      <c r="I103" s="12"/>
      <c r="J103" s="12"/>
    </row>
    <row r="104" spans="1:10" ht="12.75">
      <c r="A104" s="15"/>
      <c r="B104" s="16"/>
      <c r="C104" s="12"/>
      <c r="D104" s="12"/>
      <c r="E104" s="12"/>
      <c r="F104" s="12"/>
      <c r="G104" s="12"/>
      <c r="H104" s="12"/>
      <c r="I104" s="12"/>
      <c r="J104" s="12"/>
    </row>
    <row r="105" spans="1:10" ht="12.75">
      <c r="A105" s="15"/>
      <c r="B105" s="16"/>
      <c r="C105" s="12"/>
      <c r="D105" s="12"/>
      <c r="E105" s="12"/>
      <c r="F105" s="12"/>
      <c r="G105" s="12"/>
      <c r="H105" s="12"/>
      <c r="I105" s="12"/>
      <c r="J105" s="12"/>
    </row>
    <row r="106" spans="1:10" ht="12.75">
      <c r="A106" s="15"/>
      <c r="B106" s="16"/>
      <c r="C106" s="12"/>
      <c r="D106" s="12"/>
      <c r="E106" s="12"/>
      <c r="F106" s="12"/>
      <c r="G106" s="12"/>
      <c r="H106" s="12"/>
      <c r="I106" s="12"/>
      <c r="J106" s="12"/>
    </row>
    <row r="107" spans="1:10" ht="12.75">
      <c r="A107" s="15"/>
      <c r="B107" s="16"/>
      <c r="C107" s="12"/>
      <c r="D107" s="12"/>
      <c r="E107" s="12"/>
      <c r="F107" s="12"/>
      <c r="G107" s="12"/>
      <c r="H107" s="12"/>
      <c r="I107" s="12"/>
      <c r="J107" s="12"/>
    </row>
    <row r="108" spans="1:10" ht="12.75">
      <c r="A108" s="15"/>
      <c r="B108" s="16"/>
      <c r="C108" s="12"/>
      <c r="D108" s="12"/>
      <c r="E108" s="12"/>
      <c r="F108" s="12"/>
      <c r="G108" s="12"/>
      <c r="H108" s="12"/>
      <c r="I108" s="12"/>
      <c r="J108" s="12"/>
    </row>
    <row r="109" spans="1:10" ht="12.75">
      <c r="A109" s="15"/>
      <c r="B109" s="16"/>
      <c r="C109" s="12"/>
      <c r="D109" s="12"/>
      <c r="E109" s="12"/>
      <c r="F109" s="12"/>
      <c r="G109" s="12"/>
      <c r="H109" s="12"/>
      <c r="I109" s="12"/>
      <c r="J109" s="12"/>
    </row>
    <row r="110" spans="1:10" ht="12.75">
      <c r="A110" s="15"/>
      <c r="B110" s="16"/>
      <c r="C110" s="12"/>
      <c r="D110" s="12"/>
      <c r="E110" s="12"/>
      <c r="F110" s="12"/>
      <c r="G110" s="12"/>
      <c r="H110" s="12"/>
      <c r="I110" s="12"/>
      <c r="J110" s="12"/>
    </row>
    <row r="111" spans="1:10" ht="12.75">
      <c r="A111" s="15"/>
      <c r="B111" s="16"/>
      <c r="C111" s="12"/>
      <c r="D111" s="12"/>
      <c r="E111" s="12"/>
      <c r="F111" s="12"/>
      <c r="G111" s="12"/>
      <c r="H111" s="12"/>
      <c r="I111" s="12"/>
      <c r="J111" s="12"/>
    </row>
    <row r="112" spans="1:10" ht="12.75">
      <c r="A112" s="15"/>
      <c r="B112" s="16"/>
      <c r="C112" s="12"/>
      <c r="D112" s="12"/>
      <c r="E112" s="12"/>
      <c r="F112" s="12"/>
      <c r="G112" s="12"/>
      <c r="H112" s="12"/>
      <c r="I112" s="12"/>
      <c r="J112" s="12"/>
    </row>
    <row r="113" spans="1:10" ht="12.75">
      <c r="A113" s="15"/>
      <c r="B113" s="16"/>
      <c r="C113" s="12"/>
      <c r="D113" s="12"/>
      <c r="E113" s="12"/>
      <c r="F113" s="12"/>
      <c r="G113" s="12"/>
      <c r="H113" s="12"/>
      <c r="I113" s="12"/>
      <c r="J113" s="12"/>
    </row>
    <row r="114" spans="1:10" ht="12.75">
      <c r="A114" s="15"/>
      <c r="B114" s="16"/>
      <c r="C114" s="12"/>
      <c r="D114" s="12"/>
      <c r="E114" s="12"/>
      <c r="F114" s="12"/>
      <c r="G114" s="12"/>
      <c r="H114" s="12"/>
      <c r="I114" s="12"/>
      <c r="J114" s="12"/>
    </row>
    <row r="115" spans="1:10" ht="12.75">
      <c r="A115" s="15"/>
      <c r="B115" s="16"/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15"/>
      <c r="B116" s="16"/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15"/>
      <c r="B117" s="16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5"/>
      <c r="B118" s="16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5"/>
      <c r="B119" s="16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5"/>
      <c r="B120" s="16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5"/>
      <c r="B121" s="16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15"/>
      <c r="B122" s="16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15"/>
      <c r="B123" s="16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5"/>
      <c r="B124" s="16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5"/>
      <c r="B125" s="16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5"/>
      <c r="B126" s="16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5"/>
      <c r="B127" s="16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5"/>
      <c r="B128" s="16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5"/>
      <c r="B129" s="16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5"/>
      <c r="B130" s="16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5"/>
      <c r="B131" s="16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15"/>
      <c r="B132" s="16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15"/>
      <c r="B133" s="16"/>
      <c r="C133" s="12"/>
      <c r="D133" s="12"/>
      <c r="E133" s="12"/>
      <c r="F133" s="12"/>
      <c r="G133" s="12"/>
      <c r="H133" s="12"/>
      <c r="I133" s="12"/>
      <c r="J133" s="12"/>
    </row>
  </sheetData>
  <sheetProtection/>
  <mergeCells count="23">
    <mergeCell ref="A71:B71"/>
    <mergeCell ref="B63:B64"/>
    <mergeCell ref="A63:A64"/>
    <mergeCell ref="D12:D13"/>
    <mergeCell ref="H6:J6"/>
    <mergeCell ref="H7:J7"/>
    <mergeCell ref="A9:J9"/>
    <mergeCell ref="I11:J11"/>
    <mergeCell ref="A11:A13"/>
    <mergeCell ref="J12:J13"/>
    <mergeCell ref="E12:E13"/>
    <mergeCell ref="C11:E11"/>
    <mergeCell ref="F11:H11"/>
    <mergeCell ref="I12:I13"/>
    <mergeCell ref="B11:B13"/>
    <mergeCell ref="C12:C13"/>
    <mergeCell ref="H1:J1"/>
    <mergeCell ref="H2:J2"/>
    <mergeCell ref="H3:J3"/>
    <mergeCell ref="F12:F13"/>
    <mergeCell ref="G12:G13"/>
    <mergeCell ref="H12:H13"/>
    <mergeCell ref="H5:J5"/>
  </mergeCells>
  <printOptions/>
  <pageMargins left="0.29" right="0.24" top="0.4" bottom="0.22" header="0" footer="0.2"/>
  <pageSetup fitToHeight="2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94"/>
  <sheetViews>
    <sheetView zoomScaleSheetLayoutView="80" zoomScalePageLayoutView="0" workbookViewId="0" topLeftCell="A1">
      <selection activeCell="E8" sqref="E8"/>
    </sheetView>
  </sheetViews>
  <sheetFormatPr defaultColWidth="9.00390625" defaultRowHeight="12.75"/>
  <cols>
    <col min="1" max="1" width="3.625" style="15" customWidth="1"/>
    <col min="2" max="2" width="59.125" style="15" customWidth="1"/>
    <col min="3" max="3" width="18.875" style="55" customWidth="1"/>
    <col min="4" max="4" width="20.375" style="56" customWidth="1"/>
    <col min="5" max="5" width="18.875" style="55" customWidth="1"/>
    <col min="6" max="16384" width="9.125" style="12" customWidth="1"/>
  </cols>
  <sheetData>
    <row r="1" spans="3:5" ht="17.25" customHeight="1">
      <c r="C1" s="108" t="s">
        <v>128</v>
      </c>
      <c r="D1" s="108"/>
      <c r="E1" s="108"/>
    </row>
    <row r="2" spans="3:5" ht="14.25" customHeight="1">
      <c r="C2" s="108" t="s">
        <v>109</v>
      </c>
      <c r="D2" s="108"/>
      <c r="E2" s="108"/>
    </row>
    <row r="3" spans="3:5" ht="14.25" customHeight="1">
      <c r="C3" s="108" t="s">
        <v>164</v>
      </c>
      <c r="D3" s="108"/>
      <c r="E3" s="108"/>
    </row>
    <row r="4" spans="3:5" ht="14.25" customHeight="1">
      <c r="C4" s="74"/>
      <c r="D4" s="74"/>
      <c r="E4" s="74"/>
    </row>
    <row r="5" spans="3:5" ht="14.25" customHeight="1">
      <c r="C5" s="108" t="s">
        <v>128</v>
      </c>
      <c r="D5" s="108"/>
      <c r="E5" s="108"/>
    </row>
    <row r="6" spans="3:5" ht="14.25" customHeight="1">
      <c r="C6" s="108" t="s">
        <v>109</v>
      </c>
      <c r="D6" s="108"/>
      <c r="E6" s="108"/>
    </row>
    <row r="7" spans="3:5" ht="14.25" customHeight="1">
      <c r="C7" s="108" t="s">
        <v>152</v>
      </c>
      <c r="D7" s="108"/>
      <c r="E7" s="108"/>
    </row>
    <row r="8" spans="3:5" ht="14.25" customHeight="1">
      <c r="C8" s="74"/>
      <c r="D8" s="74"/>
      <c r="E8" s="74"/>
    </row>
    <row r="9" spans="1:14" ht="32.25" customHeight="1">
      <c r="A9" s="131" t="s">
        <v>146</v>
      </c>
      <c r="B9" s="131"/>
      <c r="C9" s="131"/>
      <c r="D9" s="131"/>
      <c r="E9" s="131"/>
      <c r="F9" s="13"/>
      <c r="G9" s="13"/>
      <c r="H9" s="13"/>
      <c r="I9" s="13"/>
      <c r="J9" s="13"/>
      <c r="K9" s="13"/>
      <c r="L9" s="13"/>
      <c r="M9" s="13"/>
      <c r="N9" s="13"/>
    </row>
    <row r="10" spans="1:5" ht="12" customHeight="1">
      <c r="A10" s="17"/>
      <c r="B10" s="17"/>
      <c r="C10" s="17"/>
      <c r="D10" s="49"/>
      <c r="E10" s="17"/>
    </row>
    <row r="11" spans="1:13" ht="18" customHeight="1">
      <c r="A11" s="132" t="s">
        <v>2</v>
      </c>
      <c r="B11" s="132" t="s">
        <v>0</v>
      </c>
      <c r="C11" s="133" t="s">
        <v>145</v>
      </c>
      <c r="D11" s="133"/>
      <c r="E11" s="133"/>
      <c r="F11" s="127"/>
      <c r="G11" s="127"/>
      <c r="H11" s="127"/>
      <c r="I11" s="127"/>
      <c r="J11" s="127"/>
      <c r="K11" s="127"/>
      <c r="L11" s="127"/>
      <c r="M11" s="127"/>
    </row>
    <row r="12" spans="1:5" ht="13.5" customHeight="1">
      <c r="A12" s="132"/>
      <c r="B12" s="132"/>
      <c r="C12" s="128" t="s">
        <v>59</v>
      </c>
      <c r="D12" s="129" t="s">
        <v>48</v>
      </c>
      <c r="E12" s="128" t="s">
        <v>1</v>
      </c>
    </row>
    <row r="13" spans="1:14" ht="24" customHeight="1">
      <c r="A13" s="132"/>
      <c r="B13" s="132"/>
      <c r="C13" s="128"/>
      <c r="D13" s="130"/>
      <c r="E13" s="128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customHeight="1">
      <c r="A14" s="4">
        <v>1</v>
      </c>
      <c r="B14" s="23" t="s">
        <v>3</v>
      </c>
      <c r="C14" s="26">
        <v>44.85</v>
      </c>
      <c r="D14" s="52">
        <f>3.4776*1.11</f>
        <v>3.8601</v>
      </c>
      <c r="E14" s="26">
        <f>C14*D14</f>
        <v>173.13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.75" customHeight="1">
      <c r="A15" s="4">
        <v>2</v>
      </c>
      <c r="B15" s="64" t="s">
        <v>60</v>
      </c>
      <c r="C15" s="26">
        <f>12.39+2.31</f>
        <v>14.7</v>
      </c>
      <c r="D15" s="92">
        <v>3.8433</v>
      </c>
      <c r="E15" s="26">
        <f>C15*D15</f>
        <v>56.5</v>
      </c>
      <c r="F15" s="1"/>
      <c r="G15" s="3"/>
      <c r="H15" s="3"/>
      <c r="I15" s="1"/>
      <c r="J15" s="3"/>
      <c r="K15" s="3"/>
      <c r="L15" s="1"/>
      <c r="M15" s="3"/>
      <c r="N15" s="3"/>
    </row>
    <row r="16" spans="1:14" ht="15.75" customHeight="1">
      <c r="A16" s="4">
        <v>3</v>
      </c>
      <c r="B16" s="23" t="s">
        <v>54</v>
      </c>
      <c r="C16" s="26">
        <f>SUM(C17:C42)</f>
        <v>2357.08</v>
      </c>
      <c r="D16" s="52">
        <f>E16/C16</f>
        <v>3.7023</v>
      </c>
      <c r="E16" s="26">
        <f>SUM(E17:E42)</f>
        <v>8726.6</v>
      </c>
      <c r="F16" s="1"/>
      <c r="G16" s="3"/>
      <c r="H16" s="3"/>
      <c r="I16" s="1"/>
      <c r="J16" s="3"/>
      <c r="K16" s="3"/>
      <c r="L16" s="1"/>
      <c r="M16" s="3"/>
      <c r="N16" s="3"/>
    </row>
    <row r="17" spans="1:14" ht="15.75" customHeight="1" hidden="1">
      <c r="A17" s="4"/>
      <c r="B17" s="23" t="s">
        <v>29</v>
      </c>
      <c r="C17" s="26">
        <v>85.68</v>
      </c>
      <c r="D17" s="52">
        <f>3.5282*1.11</f>
        <v>3.9163</v>
      </c>
      <c r="E17" s="26">
        <f>D17*C17</f>
        <v>335.55</v>
      </c>
      <c r="F17" s="1"/>
      <c r="G17" s="3"/>
      <c r="H17" s="3"/>
      <c r="I17" s="1"/>
      <c r="J17" s="3"/>
      <c r="K17" s="3"/>
      <c r="L17" s="1"/>
      <c r="M17" s="3"/>
      <c r="N17" s="3"/>
    </row>
    <row r="18" spans="1:14" ht="15.75" customHeight="1" hidden="1">
      <c r="A18" s="4"/>
      <c r="B18" s="23" t="s">
        <v>11</v>
      </c>
      <c r="C18" s="26">
        <v>74.69</v>
      </c>
      <c r="D18" s="52">
        <f>2.5002*1.11</f>
        <v>2.7752</v>
      </c>
      <c r="E18" s="26">
        <f aca="true" t="shared" si="0" ref="E18:E42">D18*C18</f>
        <v>207.28</v>
      </c>
      <c r="F18" s="1"/>
      <c r="G18" s="3"/>
      <c r="H18" s="3"/>
      <c r="I18" s="1"/>
      <c r="J18" s="3"/>
      <c r="K18" s="3"/>
      <c r="L18" s="1"/>
      <c r="M18" s="3"/>
      <c r="N18" s="3"/>
    </row>
    <row r="19" spans="1:14" ht="15.75" customHeight="1" hidden="1">
      <c r="A19" s="4"/>
      <c r="B19" s="23" t="s">
        <v>12</v>
      </c>
      <c r="C19" s="26">
        <v>182.36</v>
      </c>
      <c r="D19" s="52">
        <f>3.4873*1.11</f>
        <v>3.8709</v>
      </c>
      <c r="E19" s="26">
        <f t="shared" si="0"/>
        <v>705.9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15.75" customHeight="1" hidden="1">
      <c r="A20" s="4"/>
      <c r="B20" s="23" t="s">
        <v>13</v>
      </c>
      <c r="C20" s="26">
        <v>138.71</v>
      </c>
      <c r="D20" s="52">
        <f>3.5149*1.11</f>
        <v>3.9015</v>
      </c>
      <c r="E20" s="26">
        <f t="shared" si="0"/>
        <v>541.18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.75" customHeight="1" hidden="1">
      <c r="A21" s="4"/>
      <c r="B21" s="23" t="s">
        <v>65</v>
      </c>
      <c r="C21" s="26">
        <v>16.49</v>
      </c>
      <c r="D21" s="52">
        <f>3.5072*1.11</f>
        <v>3.893</v>
      </c>
      <c r="E21" s="26">
        <f t="shared" si="0"/>
        <v>64.2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 hidden="1">
      <c r="A22" s="4"/>
      <c r="B22" s="23" t="s">
        <v>14</v>
      </c>
      <c r="C22" s="26">
        <v>150.35</v>
      </c>
      <c r="D22" s="52">
        <f>3.5188*1.11</f>
        <v>3.9059</v>
      </c>
      <c r="E22" s="26">
        <f t="shared" si="0"/>
        <v>587.25</v>
      </c>
      <c r="F22" s="1"/>
      <c r="G22" s="3"/>
      <c r="H22" s="3"/>
      <c r="I22" s="1"/>
      <c r="J22" s="3"/>
      <c r="K22" s="3"/>
      <c r="L22" s="1"/>
      <c r="M22" s="3"/>
      <c r="N22" s="3"/>
    </row>
    <row r="23" spans="1:14" ht="15.75" customHeight="1" hidden="1">
      <c r="A23" s="4"/>
      <c r="B23" s="23" t="s">
        <v>15</v>
      </c>
      <c r="C23" s="26">
        <v>168</v>
      </c>
      <c r="D23" s="52">
        <f>3.5075*1.11</f>
        <v>3.8933</v>
      </c>
      <c r="E23" s="26">
        <f t="shared" si="0"/>
        <v>654.07</v>
      </c>
      <c r="F23" s="1"/>
      <c r="G23" s="3"/>
      <c r="H23" s="3"/>
      <c r="I23" s="1"/>
      <c r="J23" s="3"/>
      <c r="K23" s="3"/>
      <c r="L23" s="1"/>
      <c r="M23" s="3"/>
      <c r="N23" s="3"/>
    </row>
    <row r="24" spans="1:14" ht="15.75" customHeight="1" hidden="1">
      <c r="A24" s="4"/>
      <c r="B24" s="23" t="s">
        <v>16</v>
      </c>
      <c r="C24" s="26">
        <v>54.1</v>
      </c>
      <c r="D24" s="52">
        <f>3.5134*1.11</f>
        <v>3.8999</v>
      </c>
      <c r="E24" s="26">
        <f t="shared" si="0"/>
        <v>210.98</v>
      </c>
      <c r="F24" s="1"/>
      <c r="G24" s="3"/>
      <c r="H24" s="3"/>
      <c r="I24" s="1"/>
      <c r="J24" s="3"/>
      <c r="K24" s="3"/>
      <c r="L24" s="1"/>
      <c r="M24" s="3"/>
      <c r="N24" s="3"/>
    </row>
    <row r="25" spans="1:14" ht="15.75" customHeight="1" hidden="1">
      <c r="A25" s="4"/>
      <c r="B25" s="23" t="s">
        <v>17</v>
      </c>
      <c r="C25" s="26">
        <v>64.02</v>
      </c>
      <c r="D25" s="52">
        <f>3.503*1.11</f>
        <v>3.8883</v>
      </c>
      <c r="E25" s="26">
        <f t="shared" si="0"/>
        <v>248.93</v>
      </c>
      <c r="G25" s="3"/>
      <c r="H25" s="3"/>
      <c r="J25" s="3"/>
      <c r="K25" s="3"/>
      <c r="M25" s="3"/>
      <c r="N25" s="3"/>
    </row>
    <row r="26" spans="1:5" ht="15.75" customHeight="1" hidden="1">
      <c r="A26" s="4"/>
      <c r="B26" s="23" t="s">
        <v>18</v>
      </c>
      <c r="C26" s="26">
        <v>53.35</v>
      </c>
      <c r="D26" s="52">
        <f>3.5164*1.11</f>
        <v>3.9032</v>
      </c>
      <c r="E26" s="26">
        <f t="shared" si="0"/>
        <v>208.24</v>
      </c>
    </row>
    <row r="27" spans="1:5" ht="15.75" customHeight="1" hidden="1">
      <c r="A27" s="4"/>
      <c r="B27" s="23" t="s">
        <v>19</v>
      </c>
      <c r="C27" s="26">
        <v>43.46</v>
      </c>
      <c r="D27" s="52">
        <f>3.5085*1.11</f>
        <v>3.8944</v>
      </c>
      <c r="E27" s="26">
        <f>D27*C27</f>
        <v>169.25</v>
      </c>
    </row>
    <row r="28" spans="1:5" ht="15.75" customHeight="1" hidden="1">
      <c r="A28" s="4"/>
      <c r="B28" s="23" t="s">
        <v>20</v>
      </c>
      <c r="C28" s="26">
        <v>76.92</v>
      </c>
      <c r="D28" s="52">
        <f>3.5279*1.11</f>
        <v>3.916</v>
      </c>
      <c r="E28" s="26">
        <f t="shared" si="0"/>
        <v>301.22</v>
      </c>
    </row>
    <row r="29" spans="1:5" ht="15.75" customHeight="1" hidden="1">
      <c r="A29" s="4"/>
      <c r="B29" s="23" t="s">
        <v>21</v>
      </c>
      <c r="C29" s="26">
        <v>64.02</v>
      </c>
      <c r="D29" s="52">
        <f>3.5201*1.11</f>
        <v>3.9073</v>
      </c>
      <c r="E29" s="26">
        <f t="shared" si="0"/>
        <v>250.15</v>
      </c>
    </row>
    <row r="30" spans="1:5" ht="15.75" customHeight="1" hidden="1">
      <c r="A30" s="4"/>
      <c r="B30" s="23" t="s">
        <v>22</v>
      </c>
      <c r="C30" s="26">
        <v>61.51</v>
      </c>
      <c r="D30" s="52">
        <f>3.505*1.11</f>
        <v>3.8906</v>
      </c>
      <c r="E30" s="26">
        <f t="shared" si="0"/>
        <v>239.31</v>
      </c>
    </row>
    <row r="31" spans="1:5" ht="15.75" customHeight="1" hidden="1">
      <c r="A31" s="4"/>
      <c r="B31" s="23" t="s">
        <v>23</v>
      </c>
      <c r="C31" s="26">
        <v>89.94</v>
      </c>
      <c r="D31" s="52">
        <f>3.5214*1.11</f>
        <v>3.9088</v>
      </c>
      <c r="E31" s="26">
        <f t="shared" si="0"/>
        <v>351.56</v>
      </c>
    </row>
    <row r="32" spans="1:5" ht="15.75" customHeight="1" hidden="1">
      <c r="A32" s="4"/>
      <c r="B32" s="23" t="s">
        <v>24</v>
      </c>
      <c r="C32" s="26">
        <v>86.33</v>
      </c>
      <c r="D32" s="52">
        <f>3.5152*1.11</f>
        <v>3.9019</v>
      </c>
      <c r="E32" s="26">
        <f t="shared" si="0"/>
        <v>336.85</v>
      </c>
    </row>
    <row r="33" spans="1:5" ht="15.75" customHeight="1" hidden="1">
      <c r="A33" s="4"/>
      <c r="B33" s="23" t="s">
        <v>25</v>
      </c>
      <c r="C33" s="26">
        <v>19.89</v>
      </c>
      <c r="D33" s="52">
        <f>3.506*1.11</f>
        <v>3.8917</v>
      </c>
      <c r="E33" s="26">
        <f t="shared" si="0"/>
        <v>77.41</v>
      </c>
    </row>
    <row r="34" spans="1:5" ht="33.75" customHeight="1" hidden="1">
      <c r="A34" s="4"/>
      <c r="B34" s="23" t="s">
        <v>30</v>
      </c>
      <c r="C34" s="26">
        <v>171.69</v>
      </c>
      <c r="D34" s="52">
        <f>2.4679*1.11</f>
        <v>2.7394</v>
      </c>
      <c r="E34" s="26">
        <f t="shared" si="0"/>
        <v>470.33</v>
      </c>
    </row>
    <row r="35" spans="1:5" ht="15.75" customHeight="1" hidden="1">
      <c r="A35" s="4"/>
      <c r="B35" s="23" t="s">
        <v>46</v>
      </c>
      <c r="C35" s="26">
        <v>33.95</v>
      </c>
      <c r="D35" s="52">
        <f>3.4819*1.11</f>
        <v>3.8649</v>
      </c>
      <c r="E35" s="26">
        <f t="shared" si="0"/>
        <v>131.21</v>
      </c>
    </row>
    <row r="36" spans="1:5" ht="15.75" customHeight="1" hidden="1">
      <c r="A36" s="4"/>
      <c r="B36" s="23" t="s">
        <v>64</v>
      </c>
      <c r="C36" s="26">
        <v>71.49</v>
      </c>
      <c r="D36" s="52">
        <f>3.4975*1.11</f>
        <v>3.8822</v>
      </c>
      <c r="E36" s="26">
        <f t="shared" si="0"/>
        <v>277.54</v>
      </c>
    </row>
    <row r="37" spans="1:5" ht="15.75" customHeight="1" hidden="1">
      <c r="A37" s="4"/>
      <c r="B37" s="23" t="s">
        <v>26</v>
      </c>
      <c r="C37" s="26">
        <v>160.05</v>
      </c>
      <c r="D37" s="52">
        <f>3.5168*1.11</f>
        <v>3.9036</v>
      </c>
      <c r="E37" s="26">
        <f t="shared" si="0"/>
        <v>624.77</v>
      </c>
    </row>
    <row r="38" spans="1:5" ht="15.75" customHeight="1" hidden="1">
      <c r="A38" s="4"/>
      <c r="B38" s="23" t="s">
        <v>27</v>
      </c>
      <c r="C38" s="26">
        <f>53.35+32.01</f>
        <v>85.36</v>
      </c>
      <c r="D38" s="52">
        <f>3.5263*1.11</f>
        <v>3.9142</v>
      </c>
      <c r="E38" s="26">
        <f t="shared" si="0"/>
        <v>334.12</v>
      </c>
    </row>
    <row r="39" spans="1:5" ht="15.75" customHeight="1" hidden="1">
      <c r="A39" s="4"/>
      <c r="B39" s="23" t="s">
        <v>28</v>
      </c>
      <c r="C39" s="26">
        <v>83.42</v>
      </c>
      <c r="D39" s="52">
        <f>3.5099*1.11</f>
        <v>3.896</v>
      </c>
      <c r="E39" s="26">
        <f t="shared" si="0"/>
        <v>325</v>
      </c>
    </row>
    <row r="40" spans="1:5" ht="15.75" customHeight="1" hidden="1">
      <c r="A40" s="4"/>
      <c r="B40" s="23" t="s">
        <v>53</v>
      </c>
      <c r="C40" s="26">
        <v>89</v>
      </c>
      <c r="D40" s="53">
        <f>3.2654*1.11</f>
        <v>3.6246</v>
      </c>
      <c r="E40" s="26">
        <f t="shared" si="0"/>
        <v>322.59</v>
      </c>
    </row>
    <row r="41" spans="1:5" ht="14.25" customHeight="1" hidden="1">
      <c r="A41" s="4"/>
      <c r="B41" s="23" t="s">
        <v>66</v>
      </c>
      <c r="C41" s="26">
        <v>137.3</v>
      </c>
      <c r="D41" s="52">
        <f>2.5002*1.11</f>
        <v>2.7752</v>
      </c>
      <c r="E41" s="26">
        <f t="shared" si="0"/>
        <v>381.03</v>
      </c>
    </row>
    <row r="42" spans="1:5" ht="15.75" customHeight="1" hidden="1">
      <c r="A42" s="4"/>
      <c r="B42" s="23" t="s">
        <v>131</v>
      </c>
      <c r="C42" s="26">
        <v>95</v>
      </c>
      <c r="D42" s="52">
        <f>3.5152*1.11</f>
        <v>3.9019</v>
      </c>
      <c r="E42" s="26">
        <f t="shared" si="0"/>
        <v>370.68</v>
      </c>
    </row>
    <row r="43" spans="1:5" ht="15.75" customHeight="1">
      <c r="A43" s="4">
        <v>4</v>
      </c>
      <c r="B43" s="23" t="s">
        <v>55</v>
      </c>
      <c r="C43" s="26">
        <f>SUM(C44:C61)</f>
        <v>215.89</v>
      </c>
      <c r="D43" s="52">
        <f>E43/C43</f>
        <v>3.9119</v>
      </c>
      <c r="E43" s="26">
        <f>SUM(E44:E61)</f>
        <v>844.53</v>
      </c>
    </row>
    <row r="44" spans="1:5" ht="15.75" customHeight="1" hidden="1">
      <c r="A44" s="4"/>
      <c r="B44" s="23" t="s">
        <v>4</v>
      </c>
      <c r="C44" s="26">
        <v>10.92</v>
      </c>
      <c r="D44" s="52">
        <f>3.5186*1.11</f>
        <v>3.9056</v>
      </c>
      <c r="E44" s="26">
        <f>D44*C44</f>
        <v>42.65</v>
      </c>
    </row>
    <row r="45" spans="1:5" ht="15.75" customHeight="1" hidden="1">
      <c r="A45" s="4"/>
      <c r="B45" s="64" t="s">
        <v>39</v>
      </c>
      <c r="C45" s="26"/>
      <c r="D45" s="52"/>
      <c r="E45" s="51"/>
    </row>
    <row r="46" spans="1:5" ht="15.75" customHeight="1" hidden="1">
      <c r="A46" s="65"/>
      <c r="B46" s="66" t="s">
        <v>38</v>
      </c>
      <c r="C46" s="54">
        <v>6.96</v>
      </c>
      <c r="D46" s="52">
        <f>3.1658*1.11</f>
        <v>3.514</v>
      </c>
      <c r="E46" s="26">
        <f aca="true" t="shared" si="1" ref="E46:E61">D46*C46</f>
        <v>24.46</v>
      </c>
    </row>
    <row r="47" spans="1:5" ht="15.75" customHeight="1" hidden="1">
      <c r="A47" s="65"/>
      <c r="B47" s="66" t="s">
        <v>40</v>
      </c>
      <c r="C47" s="54">
        <v>11.54</v>
      </c>
      <c r="D47" s="52">
        <f>3.4354*1.11</f>
        <v>3.8133</v>
      </c>
      <c r="E47" s="26">
        <f t="shared" si="1"/>
        <v>44.01</v>
      </c>
    </row>
    <row r="48" spans="1:5" ht="15.75" customHeight="1" hidden="1">
      <c r="A48" s="65"/>
      <c r="B48" s="66" t="s">
        <v>41</v>
      </c>
      <c r="C48" s="54">
        <v>39.01</v>
      </c>
      <c r="D48" s="52">
        <f>3.4334*1.11</f>
        <v>3.8111</v>
      </c>
      <c r="E48" s="26">
        <f t="shared" si="1"/>
        <v>148.67</v>
      </c>
    </row>
    <row r="49" spans="1:5" ht="15.75" customHeight="1" hidden="1">
      <c r="A49" s="65"/>
      <c r="B49" s="66" t="s">
        <v>7</v>
      </c>
      <c r="C49" s="54"/>
      <c r="D49" s="52"/>
      <c r="E49" s="26"/>
    </row>
    <row r="50" spans="1:5" ht="15.75" customHeight="1" hidden="1">
      <c r="A50" s="4"/>
      <c r="B50" s="23" t="s">
        <v>51</v>
      </c>
      <c r="C50" s="26">
        <v>20.85</v>
      </c>
      <c r="D50" s="52">
        <f>3.7398*1.11</f>
        <v>4.1512</v>
      </c>
      <c r="E50" s="26">
        <f t="shared" si="1"/>
        <v>86.55</v>
      </c>
    </row>
    <row r="51" spans="1:5" ht="15.75" customHeight="1" hidden="1">
      <c r="A51" s="4"/>
      <c r="B51" s="23" t="s">
        <v>50</v>
      </c>
      <c r="C51" s="26">
        <v>21.15</v>
      </c>
      <c r="D51" s="52">
        <f>3.6617*1.11</f>
        <v>4.0645</v>
      </c>
      <c r="E51" s="26">
        <f t="shared" si="1"/>
        <v>85.96</v>
      </c>
    </row>
    <row r="52" spans="1:5" ht="15.75" customHeight="1" hidden="1">
      <c r="A52" s="4"/>
      <c r="B52" s="23" t="s">
        <v>35</v>
      </c>
      <c r="C52" s="26"/>
      <c r="D52" s="52"/>
      <c r="E52" s="51"/>
    </row>
    <row r="53" spans="1:5" ht="15.75" customHeight="1" hidden="1">
      <c r="A53" s="4"/>
      <c r="B53" s="67" t="s">
        <v>42</v>
      </c>
      <c r="C53" s="54">
        <v>9.24</v>
      </c>
      <c r="D53" s="52">
        <f>3.5068*1.11</f>
        <v>3.8925</v>
      </c>
      <c r="E53" s="26">
        <f t="shared" si="1"/>
        <v>35.97</v>
      </c>
    </row>
    <row r="54" spans="1:5" ht="15.75" customHeight="1" hidden="1">
      <c r="A54" s="4"/>
      <c r="B54" s="67" t="s">
        <v>43</v>
      </c>
      <c r="C54" s="54">
        <v>2.92</v>
      </c>
      <c r="D54" s="52">
        <f>3.5196*1.11</f>
        <v>3.9068</v>
      </c>
      <c r="E54" s="26">
        <f t="shared" si="1"/>
        <v>11.41</v>
      </c>
    </row>
    <row r="55" spans="1:5" ht="15.75" customHeight="1" hidden="1">
      <c r="A55" s="4"/>
      <c r="B55" s="67" t="s">
        <v>36</v>
      </c>
      <c r="C55" s="54">
        <v>7.64</v>
      </c>
      <c r="D55" s="52">
        <f>3.5164*1.11</f>
        <v>3.9032</v>
      </c>
      <c r="E55" s="26">
        <f t="shared" si="1"/>
        <v>29.82</v>
      </c>
    </row>
    <row r="56" spans="1:5" ht="15.75" customHeight="1" hidden="1">
      <c r="A56" s="4"/>
      <c r="B56" s="67" t="s">
        <v>44</v>
      </c>
      <c r="C56" s="54">
        <v>0.16</v>
      </c>
      <c r="D56" s="52">
        <f>2.6667*1.11</f>
        <v>2.96</v>
      </c>
      <c r="E56" s="26">
        <f t="shared" si="1"/>
        <v>0.47</v>
      </c>
    </row>
    <row r="57" spans="1:5" ht="15.75" customHeight="1" hidden="1">
      <c r="A57" s="4"/>
      <c r="B57" s="67" t="s">
        <v>37</v>
      </c>
      <c r="C57" s="54">
        <v>0.86</v>
      </c>
      <c r="D57" s="52">
        <f>3.4783*1.11</f>
        <v>3.8609</v>
      </c>
      <c r="E57" s="26">
        <f t="shared" si="1"/>
        <v>3.32</v>
      </c>
    </row>
    <row r="58" spans="1:5" ht="15.75" customHeight="1" hidden="1">
      <c r="A58" s="4"/>
      <c r="B58" s="67" t="s">
        <v>5</v>
      </c>
      <c r="C58" s="54">
        <v>6.8</v>
      </c>
      <c r="D58" s="52">
        <f>3.5278*1.11</f>
        <v>3.9159</v>
      </c>
      <c r="E58" s="26">
        <f t="shared" si="1"/>
        <v>26.63</v>
      </c>
    </row>
    <row r="59" spans="1:5" ht="15.75" customHeight="1" hidden="1">
      <c r="A59" s="4"/>
      <c r="B59" s="23" t="s">
        <v>31</v>
      </c>
      <c r="C59" s="26">
        <v>20.89</v>
      </c>
      <c r="D59" s="52">
        <f>2.6074*1.11</f>
        <v>2.8942</v>
      </c>
      <c r="E59" s="26">
        <f t="shared" si="1"/>
        <v>60.46</v>
      </c>
    </row>
    <row r="60" spans="1:5" ht="15.75" customHeight="1" hidden="1">
      <c r="A60" s="4"/>
      <c r="B60" s="23" t="s">
        <v>32</v>
      </c>
      <c r="C60" s="26">
        <v>31.74</v>
      </c>
      <c r="D60" s="52">
        <f>3.8348*1.11</f>
        <v>4.2566</v>
      </c>
      <c r="E60" s="26">
        <f t="shared" si="1"/>
        <v>135.1</v>
      </c>
    </row>
    <row r="61" spans="1:5" ht="15.75" customHeight="1" hidden="1">
      <c r="A61" s="4"/>
      <c r="B61" s="23" t="s">
        <v>33</v>
      </c>
      <c r="C61" s="26">
        <v>25.21</v>
      </c>
      <c r="D61" s="52">
        <f>3.8971*1.11</f>
        <v>4.3258</v>
      </c>
      <c r="E61" s="26">
        <f t="shared" si="1"/>
        <v>109.05</v>
      </c>
    </row>
    <row r="62" spans="1:5" ht="15.75" customHeight="1" hidden="1">
      <c r="A62" s="4"/>
      <c r="B62" s="23" t="s">
        <v>57</v>
      </c>
      <c r="C62" s="26">
        <v>0</v>
      </c>
      <c r="D62" s="52"/>
      <c r="E62" s="26">
        <f>C62*D62</f>
        <v>0</v>
      </c>
    </row>
    <row r="63" spans="1:5" ht="15.75" customHeight="1">
      <c r="A63" s="4">
        <v>5</v>
      </c>
      <c r="B63" s="23" t="s">
        <v>58</v>
      </c>
      <c r="C63" s="26">
        <v>91.91</v>
      </c>
      <c r="D63" s="52">
        <f>3.632*1.11</f>
        <v>4.0315</v>
      </c>
      <c r="E63" s="26">
        <f>C63*D63</f>
        <v>370.54</v>
      </c>
    </row>
    <row r="64" spans="1:5" ht="15.75" customHeight="1">
      <c r="A64" s="4">
        <v>6</v>
      </c>
      <c r="B64" s="23" t="s">
        <v>61</v>
      </c>
      <c r="C64" s="26">
        <v>13.54</v>
      </c>
      <c r="D64" s="52">
        <f>2.2161*1.11</f>
        <v>2.4599</v>
      </c>
      <c r="E64" s="26">
        <f>C64*D64</f>
        <v>33.31</v>
      </c>
    </row>
    <row r="65" spans="1:5" ht="14.25" customHeight="1">
      <c r="A65" s="4">
        <v>7</v>
      </c>
      <c r="B65" s="23" t="s">
        <v>62</v>
      </c>
      <c r="C65" s="26">
        <f>C66+C67</f>
        <v>1097.63</v>
      </c>
      <c r="D65" s="52">
        <f>E65/C65</f>
        <v>3.2487</v>
      </c>
      <c r="E65" s="26">
        <f>E66+E67</f>
        <v>3565.9</v>
      </c>
    </row>
    <row r="66" spans="1:5" ht="15.75" customHeight="1" hidden="1">
      <c r="A66" s="4"/>
      <c r="B66" s="23" t="s">
        <v>8</v>
      </c>
      <c r="C66" s="26">
        <v>7.07</v>
      </c>
      <c r="D66" s="52">
        <f>3.6388*1.11</f>
        <v>4.0391</v>
      </c>
      <c r="E66" s="26">
        <f>C66*D66</f>
        <v>28.56</v>
      </c>
    </row>
    <row r="67" spans="1:5" ht="15.75" customHeight="1" hidden="1">
      <c r="A67" s="4"/>
      <c r="B67" s="23" t="s">
        <v>45</v>
      </c>
      <c r="C67" s="26">
        <f>1085.51+7.36-2.31</f>
        <v>1090.56</v>
      </c>
      <c r="D67" s="52">
        <v>3.2436</v>
      </c>
      <c r="E67" s="26">
        <f>C67*D67</f>
        <v>3537.34</v>
      </c>
    </row>
    <row r="68" spans="1:5" ht="15.75" customHeight="1">
      <c r="A68" s="4">
        <v>8</v>
      </c>
      <c r="B68" s="23" t="s">
        <v>56</v>
      </c>
      <c r="C68" s="26">
        <f>C69+C70</f>
        <v>1631.18</v>
      </c>
      <c r="D68" s="52">
        <f>E68/C68</f>
        <v>3.0873</v>
      </c>
      <c r="E68" s="26">
        <f>E69+E70</f>
        <v>5035.88</v>
      </c>
    </row>
    <row r="69" spans="1:5" ht="15.75" customHeight="1" hidden="1">
      <c r="A69" s="4"/>
      <c r="B69" s="23" t="s">
        <v>9</v>
      </c>
      <c r="C69" s="26">
        <v>2.29</v>
      </c>
      <c r="D69" s="52">
        <f>2.7618*1.11</f>
        <v>3.0656</v>
      </c>
      <c r="E69" s="26">
        <f>C69*D69</f>
        <v>7.02</v>
      </c>
    </row>
    <row r="70" spans="1:5" ht="15.75" customHeight="1" hidden="1">
      <c r="A70" s="4"/>
      <c r="B70" s="23" t="s">
        <v>10</v>
      </c>
      <c r="C70" s="26">
        <v>1628.89</v>
      </c>
      <c r="D70" s="63">
        <v>3.08732</v>
      </c>
      <c r="E70" s="26">
        <f>D70*C70-0.04</f>
        <v>5028.86</v>
      </c>
    </row>
    <row r="71" spans="1:5" ht="22.5" customHeight="1">
      <c r="A71" s="4">
        <v>9</v>
      </c>
      <c r="B71" s="23" t="s">
        <v>47</v>
      </c>
      <c r="C71" s="26">
        <f>SUM(C72:C73)</f>
        <v>84.85</v>
      </c>
      <c r="D71" s="52">
        <f>E71/C71</f>
        <v>3.889</v>
      </c>
      <c r="E71" s="26">
        <f>SUM(E72:E73)</f>
        <v>329.98</v>
      </c>
    </row>
    <row r="72" spans="1:5" ht="24.75" customHeight="1" hidden="1">
      <c r="A72" s="4"/>
      <c r="B72" s="23" t="s">
        <v>47</v>
      </c>
      <c r="C72" s="26">
        <v>41.27</v>
      </c>
      <c r="D72" s="52">
        <f>3.524*1.11</f>
        <v>3.9116</v>
      </c>
      <c r="E72" s="26">
        <f>C72*D72</f>
        <v>161.43</v>
      </c>
    </row>
    <row r="73" spans="1:5" ht="18" customHeight="1" hidden="1">
      <c r="A73" s="4"/>
      <c r="B73" s="23" t="s">
        <v>52</v>
      </c>
      <c r="C73" s="26">
        <v>43.58</v>
      </c>
      <c r="D73" s="52">
        <f>3.4843*1.11</f>
        <v>3.8676</v>
      </c>
      <c r="E73" s="26">
        <f>C73*D73</f>
        <v>168.55</v>
      </c>
    </row>
    <row r="74" spans="1:5" ht="12.75" customHeight="1">
      <c r="A74" s="125" t="s">
        <v>34</v>
      </c>
      <c r="B74" s="126"/>
      <c r="C74" s="51">
        <f>C14+C15+C16+C43+C62+C63+C64+C65+C68+C71</f>
        <v>5551.63</v>
      </c>
      <c r="D74" s="50">
        <f>E74/C74</f>
        <v>3.447</v>
      </c>
      <c r="E74" s="33">
        <f>E14+E15+E16+E43+E62+E63+E64+E65+E68+E71</f>
        <v>19136.37</v>
      </c>
    </row>
    <row r="75" spans="2:5" ht="12.75">
      <c r="B75" s="12"/>
      <c r="C75" s="12"/>
      <c r="D75" s="34"/>
      <c r="E75" s="12"/>
    </row>
    <row r="76" spans="2:5" ht="12.75">
      <c r="B76" s="12"/>
      <c r="C76" s="1"/>
      <c r="D76" s="34"/>
      <c r="E76" s="12"/>
    </row>
    <row r="77" spans="2:5" ht="12.75">
      <c r="B77" s="12"/>
      <c r="C77" s="12"/>
      <c r="D77" s="34"/>
      <c r="E77" s="45"/>
    </row>
    <row r="78" spans="2:5" ht="12.75">
      <c r="B78" s="12"/>
      <c r="C78" s="12"/>
      <c r="D78" s="34"/>
      <c r="E78" s="45"/>
    </row>
    <row r="79" spans="2:5" ht="12.75">
      <c r="B79" s="12"/>
      <c r="C79" s="12"/>
      <c r="D79" s="34"/>
      <c r="E79" s="12"/>
    </row>
    <row r="80" spans="2:5" ht="12.75">
      <c r="B80" s="12"/>
      <c r="C80" s="12"/>
      <c r="D80" s="34"/>
      <c r="E80" s="12"/>
    </row>
    <row r="81" spans="2:5" ht="12.75">
      <c r="B81" s="12"/>
      <c r="C81" s="12"/>
      <c r="D81" s="34"/>
      <c r="E81" s="12"/>
    </row>
    <row r="82" spans="2:5" ht="12.75">
      <c r="B82" s="12"/>
      <c r="C82" s="12"/>
      <c r="D82" s="34"/>
      <c r="E82" s="12"/>
    </row>
    <row r="83" spans="2:5" ht="12.75">
      <c r="B83" s="12"/>
      <c r="C83" s="12"/>
      <c r="D83" s="34"/>
      <c r="E83" s="12"/>
    </row>
    <row r="84" spans="2:5" ht="12.75">
      <c r="B84" s="12"/>
      <c r="C84" s="12"/>
      <c r="D84" s="34"/>
      <c r="E84" s="12"/>
    </row>
    <row r="85" spans="2:5" ht="12.75">
      <c r="B85" s="12"/>
      <c r="C85" s="12"/>
      <c r="D85" s="34"/>
      <c r="E85" s="12"/>
    </row>
    <row r="86" spans="2:5" ht="12.75">
      <c r="B86" s="12"/>
      <c r="C86" s="12"/>
      <c r="D86" s="34"/>
      <c r="E86" s="12"/>
    </row>
    <row r="87" spans="2:5" ht="12.75">
      <c r="B87" s="12"/>
      <c r="C87" s="12"/>
      <c r="D87" s="34"/>
      <c r="E87" s="12"/>
    </row>
    <row r="88" spans="2:5" ht="12.75">
      <c r="B88" s="12"/>
      <c r="C88" s="12"/>
      <c r="D88" s="34"/>
      <c r="E88" s="12"/>
    </row>
    <row r="89" spans="2:5" ht="12.75">
      <c r="B89" s="12"/>
      <c r="C89" s="12"/>
      <c r="D89" s="34"/>
      <c r="E89" s="12"/>
    </row>
    <row r="90" spans="2:5" ht="12.75">
      <c r="B90" s="12"/>
      <c r="C90" s="12"/>
      <c r="D90" s="34"/>
      <c r="E90" s="12"/>
    </row>
    <row r="91" spans="2:5" ht="12.75">
      <c r="B91" s="12"/>
      <c r="C91" s="12"/>
      <c r="D91" s="34"/>
      <c r="E91" s="12"/>
    </row>
    <row r="92" spans="2:5" ht="12.75">
      <c r="B92" s="12"/>
      <c r="C92" s="12"/>
      <c r="D92" s="34"/>
      <c r="E92" s="12"/>
    </row>
    <row r="93" spans="2:5" ht="12.75">
      <c r="B93" s="12"/>
      <c r="C93" s="12"/>
      <c r="D93" s="34"/>
      <c r="E93" s="12"/>
    </row>
    <row r="94" spans="2:5" ht="12.75">
      <c r="B94" s="12"/>
      <c r="C94" s="12"/>
      <c r="D94" s="34"/>
      <c r="E94" s="12"/>
    </row>
  </sheetData>
  <sheetProtection/>
  <mergeCells count="17">
    <mergeCell ref="C1:E1"/>
    <mergeCell ref="C2:E2"/>
    <mergeCell ref="A9:E9"/>
    <mergeCell ref="A11:A13"/>
    <mergeCell ref="B11:B13"/>
    <mergeCell ref="C11:E11"/>
    <mergeCell ref="C3:E3"/>
    <mergeCell ref="C5:E5"/>
    <mergeCell ref="C6:E6"/>
    <mergeCell ref="C7:E7"/>
    <mergeCell ref="A74:B74"/>
    <mergeCell ref="F11:G11"/>
    <mergeCell ref="H11:J11"/>
    <mergeCell ref="K11:M11"/>
    <mergeCell ref="C12:C13"/>
    <mergeCell ref="D12:D13"/>
    <mergeCell ref="E12:E13"/>
  </mergeCells>
  <printOptions/>
  <pageMargins left="0.73" right="0.24" top="0.4724409448818898" bottom="0.3937007874015748" header="0" footer="0.1968503937007874"/>
  <pageSetup fitToHeight="2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28"/>
  <sheetViews>
    <sheetView tabSelected="1" zoomScalePageLayoutView="0" workbookViewId="0" topLeftCell="C1">
      <selection activeCell="H5" sqref="H5"/>
    </sheetView>
  </sheetViews>
  <sheetFormatPr defaultColWidth="9.00390625" defaultRowHeight="12.75"/>
  <cols>
    <col min="1" max="1" width="4.375" style="88" customWidth="1"/>
    <col min="2" max="2" width="30.125" style="88" customWidth="1"/>
    <col min="3" max="3" width="11.75390625" style="88" customWidth="1"/>
    <col min="4" max="4" width="9.875" style="88" customWidth="1"/>
    <col min="5" max="5" width="13.25390625" style="88" customWidth="1"/>
    <col min="6" max="6" width="12.875" style="88" customWidth="1"/>
    <col min="7" max="7" width="13.00390625" style="88" customWidth="1"/>
    <col min="8" max="8" width="11.625" style="88" customWidth="1"/>
    <col min="9" max="9" width="12.00390625" style="88" customWidth="1"/>
    <col min="10" max="10" width="9.125" style="88" customWidth="1"/>
    <col min="11" max="11" width="10.875" style="88" customWidth="1"/>
    <col min="12" max="12" width="9.125" style="88" customWidth="1"/>
    <col min="13" max="13" width="12.75390625" style="88" customWidth="1"/>
    <col min="14" max="14" width="10.75390625" style="88" customWidth="1"/>
    <col min="15" max="15" width="15.875" style="88" customWidth="1"/>
    <col min="16" max="16384" width="9.125" style="88" customWidth="1"/>
  </cols>
  <sheetData>
    <row r="1" spans="13:15" ht="12.75">
      <c r="M1" s="134" t="s">
        <v>160</v>
      </c>
      <c r="N1" s="134"/>
      <c r="O1" s="134"/>
    </row>
    <row r="2" spans="13:15" ht="12.75">
      <c r="M2" s="134" t="s">
        <v>109</v>
      </c>
      <c r="N2" s="134"/>
      <c r="O2" s="134"/>
    </row>
    <row r="3" spans="13:15" ht="12.75">
      <c r="M3" s="134" t="s">
        <v>165</v>
      </c>
      <c r="N3" s="134"/>
      <c r="O3" s="134"/>
    </row>
    <row r="4" spans="13:15" ht="12.75">
      <c r="M4" s="89"/>
      <c r="N4" s="89"/>
      <c r="O4" s="89"/>
    </row>
    <row r="5" spans="13:15" ht="12.75">
      <c r="M5" s="108" t="s">
        <v>129</v>
      </c>
      <c r="N5" s="108"/>
      <c r="O5" s="108"/>
    </row>
    <row r="6" spans="13:15" ht="12.75">
      <c r="M6" s="108" t="s">
        <v>109</v>
      </c>
      <c r="N6" s="108"/>
      <c r="O6" s="108"/>
    </row>
    <row r="7" spans="13:15" ht="12.75">
      <c r="M7" s="108" t="s">
        <v>152</v>
      </c>
      <c r="N7" s="108"/>
      <c r="O7" s="108"/>
    </row>
    <row r="8" spans="13:15" ht="12.75">
      <c r="M8" s="90"/>
      <c r="N8" s="90"/>
      <c r="O8" s="90"/>
    </row>
    <row r="9" spans="1:15" ht="12.75">
      <c r="A9" s="139" t="s">
        <v>153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1" spans="1:15" ht="9" customHeight="1">
      <c r="A11" s="135" t="s">
        <v>67</v>
      </c>
      <c r="B11" s="135" t="s">
        <v>0</v>
      </c>
      <c r="C11" s="140" t="s">
        <v>116</v>
      </c>
      <c r="D11" s="141"/>
      <c r="E11" s="140" t="s">
        <v>121</v>
      </c>
      <c r="F11" s="146"/>
      <c r="G11" s="146"/>
      <c r="H11" s="141"/>
      <c r="I11" s="140" t="s">
        <v>117</v>
      </c>
      <c r="J11" s="141"/>
      <c r="K11" s="140" t="s">
        <v>118</v>
      </c>
      <c r="L11" s="141"/>
      <c r="M11" s="140" t="s">
        <v>119</v>
      </c>
      <c r="N11" s="141"/>
      <c r="O11" s="135" t="s">
        <v>147</v>
      </c>
    </row>
    <row r="12" spans="1:15" ht="68.25" customHeight="1">
      <c r="A12" s="136"/>
      <c r="B12" s="136"/>
      <c r="C12" s="142"/>
      <c r="D12" s="143"/>
      <c r="E12" s="142"/>
      <c r="F12" s="147"/>
      <c r="G12" s="147"/>
      <c r="H12" s="143"/>
      <c r="I12" s="142"/>
      <c r="J12" s="143"/>
      <c r="K12" s="142"/>
      <c r="L12" s="143"/>
      <c r="M12" s="142"/>
      <c r="N12" s="143"/>
      <c r="O12" s="136"/>
    </row>
    <row r="13" spans="1:15" ht="24.75" customHeight="1">
      <c r="A13" s="136"/>
      <c r="B13" s="136"/>
      <c r="C13" s="138" t="s">
        <v>69</v>
      </c>
      <c r="D13" s="138" t="s">
        <v>1</v>
      </c>
      <c r="E13" s="144" t="s">
        <v>157</v>
      </c>
      <c r="F13" s="145"/>
      <c r="G13" s="138" t="s">
        <v>1</v>
      </c>
      <c r="H13" s="138"/>
      <c r="I13" s="138" t="s">
        <v>49</v>
      </c>
      <c r="J13" s="138" t="s">
        <v>113</v>
      </c>
      <c r="K13" s="138" t="s">
        <v>49</v>
      </c>
      <c r="L13" s="138" t="s">
        <v>1</v>
      </c>
      <c r="M13" s="138" t="s">
        <v>59</v>
      </c>
      <c r="N13" s="138" t="s">
        <v>1</v>
      </c>
      <c r="O13" s="136"/>
    </row>
    <row r="14" spans="1:15" ht="42" customHeight="1">
      <c r="A14" s="137"/>
      <c r="B14" s="137"/>
      <c r="C14" s="138"/>
      <c r="D14" s="138"/>
      <c r="E14" s="42" t="s">
        <v>158</v>
      </c>
      <c r="F14" s="75" t="s">
        <v>159</v>
      </c>
      <c r="G14" s="42" t="s">
        <v>155</v>
      </c>
      <c r="H14" s="75" t="s">
        <v>156</v>
      </c>
      <c r="I14" s="138"/>
      <c r="J14" s="138"/>
      <c r="K14" s="138"/>
      <c r="L14" s="138"/>
      <c r="M14" s="138"/>
      <c r="N14" s="138"/>
      <c r="O14" s="137"/>
    </row>
    <row r="15" spans="1:15" ht="24" customHeight="1">
      <c r="A15" s="72">
        <v>1</v>
      </c>
      <c r="B15" s="31" t="s">
        <v>3</v>
      </c>
      <c r="C15" s="73">
        <f>'ПРИЛОЖ №1'!I15</f>
        <v>416.08</v>
      </c>
      <c r="D15" s="73">
        <f>'ПРИЛОЖ №1'!J15</f>
        <v>315.92</v>
      </c>
      <c r="E15" s="73">
        <f>'ПРИЛОЖ №2'!O15</f>
        <v>365.07</v>
      </c>
      <c r="F15" s="73">
        <f>'ПРИЛОЖ №2'!P15</f>
        <v>21.48</v>
      </c>
      <c r="G15" s="73">
        <f>'ПРИЛОЖ №2'!Q15</f>
        <v>18.23</v>
      </c>
      <c r="H15" s="73">
        <f>'ПРИЛОЖ №2'!R15</f>
        <v>16.31</v>
      </c>
      <c r="I15" s="73">
        <f>ПРИЛОЖ№3!I14</f>
        <v>365.06</v>
      </c>
      <c r="J15" s="73">
        <f>ПРИЛОЖ№3!J14</f>
        <v>15.79</v>
      </c>
      <c r="K15" s="73">
        <f>ПРИЛОЖ№4!I14</f>
        <v>730.14</v>
      </c>
      <c r="L15" s="73">
        <f>ПРИЛОЖ№4!J14</f>
        <v>181.94</v>
      </c>
      <c r="M15" s="73">
        <f>ПРИЛОЖ№5!C14</f>
        <v>44.85</v>
      </c>
      <c r="N15" s="73">
        <f>ПРИЛОЖ№5!E14</f>
        <v>173.13</v>
      </c>
      <c r="O15" s="73">
        <f>D15+G15+H15+J15+L15+N15</f>
        <v>721.32</v>
      </c>
    </row>
    <row r="16" spans="1:15" ht="30" customHeight="1">
      <c r="A16" s="72">
        <v>2</v>
      </c>
      <c r="B16" s="31" t="s">
        <v>60</v>
      </c>
      <c r="C16" s="73">
        <f>'ПРИЛОЖ №1'!I16</f>
        <v>41.07</v>
      </c>
      <c r="D16" s="73">
        <f>'ПРИЛОЖ №1'!J16</f>
        <v>31.19</v>
      </c>
      <c r="E16" s="73">
        <f>'ПРИЛОЖ №2'!O16</f>
        <v>31.03</v>
      </c>
      <c r="F16" s="73">
        <f>'ПРИЛОЖ №2'!P16</f>
        <v>1.82</v>
      </c>
      <c r="G16" s="73">
        <f>'ПРИЛОЖ №2'!Q16</f>
        <v>1.55</v>
      </c>
      <c r="H16" s="73">
        <f>'ПРИЛОЖ №2'!R16</f>
        <v>1.39</v>
      </c>
      <c r="I16" s="73">
        <f>ПРИЛОЖ№3!I15</f>
        <v>114.08</v>
      </c>
      <c r="J16" s="73">
        <f>ПРИЛОЖ№3!J15</f>
        <v>4.93</v>
      </c>
      <c r="K16" s="73">
        <f>ПРИЛОЖ№4!I15</f>
        <v>145.12</v>
      </c>
      <c r="L16" s="73">
        <f>ПРИЛОЖ№4!J15</f>
        <v>3.9</v>
      </c>
      <c r="M16" s="73">
        <f>ПРИЛОЖ№5!C15</f>
        <v>14.7</v>
      </c>
      <c r="N16" s="73">
        <f>ПРИЛОЖ№5!E15</f>
        <v>56.5</v>
      </c>
      <c r="O16" s="73">
        <f aca="true" t="shared" si="0" ref="O16:O24">D16+G16+H16+J16+L16+N16</f>
        <v>99.46</v>
      </c>
    </row>
    <row r="17" spans="1:15" ht="33" customHeight="1">
      <c r="A17" s="72">
        <v>3</v>
      </c>
      <c r="B17" s="31" t="s">
        <v>54</v>
      </c>
      <c r="C17" s="73">
        <f>'ПРИЛОЖ №1'!I17</f>
        <v>20577.8</v>
      </c>
      <c r="D17" s="73">
        <f>'ПРИЛОЖ №1'!J17</f>
        <v>15554.89</v>
      </c>
      <c r="E17" s="73">
        <f>'ПРИЛОЖ №2'!O17</f>
        <v>40852.67</v>
      </c>
      <c r="F17" s="73">
        <f>'ПРИЛОЖ №2'!P17</f>
        <v>2403.4</v>
      </c>
      <c r="G17" s="73">
        <f>'ПРИЛОЖ №2'!Q17</f>
        <v>2048.48</v>
      </c>
      <c r="H17" s="73">
        <f>'ПРИЛОЖ №2'!R17</f>
        <v>1830.81</v>
      </c>
      <c r="I17" s="73">
        <f>ПРИЛОЖ№3!I16</f>
        <v>63703.6</v>
      </c>
      <c r="J17" s="73">
        <f>ПРИЛОЖ№3!J16</f>
        <v>3003.78</v>
      </c>
      <c r="K17" s="73">
        <f>ПРИЛОЖ№4!I16</f>
        <v>104556.36</v>
      </c>
      <c r="L17" s="73">
        <f>ПРИЛОЖ№4!J16</f>
        <v>3685.15</v>
      </c>
      <c r="M17" s="73">
        <f>ПРИЛОЖ№5!C16</f>
        <v>2357.08</v>
      </c>
      <c r="N17" s="73">
        <f>ПРИЛОЖ№5!E16</f>
        <v>8726.6</v>
      </c>
      <c r="O17" s="73">
        <f t="shared" si="0"/>
        <v>34849.71</v>
      </c>
    </row>
    <row r="18" spans="1:15" ht="25.5">
      <c r="A18" s="72">
        <v>4</v>
      </c>
      <c r="B18" s="31" t="s">
        <v>124</v>
      </c>
      <c r="C18" s="73">
        <f>'ПРИЛОЖ №1'!I41</f>
        <v>2626.08</v>
      </c>
      <c r="D18" s="73">
        <f>'ПРИЛОЖ №1'!J41</f>
        <v>1980.63</v>
      </c>
      <c r="E18" s="73">
        <f>'ПРИЛОЖ №2'!O41</f>
        <v>1911.74</v>
      </c>
      <c r="F18" s="73">
        <f>'ПРИЛОЖ №2'!P41</f>
        <v>112.46</v>
      </c>
      <c r="G18" s="73">
        <f>'ПРИЛОЖ №2'!Q41</f>
        <v>94.09</v>
      </c>
      <c r="H18" s="73">
        <f>'ПРИЛОЖ №2'!R41</f>
        <v>84.41</v>
      </c>
      <c r="I18" s="73">
        <f>ПРИЛОЖ№3!I40</f>
        <v>1996.62</v>
      </c>
      <c r="J18" s="73">
        <f>ПРИЛОЖ№3!J40</f>
        <v>102.8</v>
      </c>
      <c r="K18" s="73">
        <f>ПРИЛОЖ№4!I40</f>
        <v>3908.42</v>
      </c>
      <c r="L18" s="73">
        <f>ПРИЛОЖ№4!J40</f>
        <v>155.43</v>
      </c>
      <c r="M18" s="73">
        <f>ПРИЛОЖ№5!C43</f>
        <v>215.89</v>
      </c>
      <c r="N18" s="73">
        <f>ПРИЛОЖ№5!E43</f>
        <v>844.53</v>
      </c>
      <c r="O18" s="73">
        <f t="shared" si="0"/>
        <v>3261.89</v>
      </c>
    </row>
    <row r="19" spans="1:15" ht="25.5" customHeight="1" hidden="1">
      <c r="A19" s="72"/>
      <c r="B19" s="31" t="s">
        <v>57</v>
      </c>
      <c r="C19" s="73">
        <f>'ПРИЛОЖ №1'!I59</f>
        <v>0</v>
      </c>
      <c r="D19" s="73">
        <f>'ПРИЛОЖ №1'!J59</f>
        <v>0</v>
      </c>
      <c r="E19" s="73">
        <f>'ПРИЛОЖ №2'!O58</f>
        <v>0</v>
      </c>
      <c r="F19" s="73">
        <f>'ПРИЛОЖ №2'!P58</f>
        <v>0</v>
      </c>
      <c r="G19" s="73">
        <f>'ПРИЛОЖ №2'!Q58</f>
        <v>0</v>
      </c>
      <c r="H19" s="73">
        <f>'ПРИЛОЖ №2'!R58</f>
        <v>0</v>
      </c>
      <c r="I19" s="73">
        <f>ПРИЛОЖ№3!I58</f>
        <v>0</v>
      </c>
      <c r="J19" s="73">
        <f>ПРИЛОЖ№3!J58</f>
        <v>0</v>
      </c>
      <c r="K19" s="73">
        <f>ПРИЛОЖ№4!I58</f>
        <v>0</v>
      </c>
      <c r="L19" s="73">
        <f>ПРИЛОЖ№4!J58</f>
        <v>0</v>
      </c>
      <c r="M19" s="73">
        <f>ПРИЛОЖ№5!C62</f>
        <v>0</v>
      </c>
      <c r="N19" s="73">
        <f>ПРИЛОЖ№5!E62</f>
        <v>0</v>
      </c>
      <c r="O19" s="73">
        <f t="shared" si="0"/>
        <v>0</v>
      </c>
    </row>
    <row r="20" spans="1:15" ht="36" customHeight="1">
      <c r="A20" s="72">
        <v>5</v>
      </c>
      <c r="B20" s="31" t="s">
        <v>58</v>
      </c>
      <c r="C20" s="73">
        <f>'ПРИЛОЖ №1'!I60</f>
        <v>0</v>
      </c>
      <c r="D20" s="73">
        <f>'ПРИЛОЖ №1'!J60</f>
        <v>0</v>
      </c>
      <c r="E20" s="73">
        <f>'ПРИЛОЖ №2'!O59</f>
        <v>0</v>
      </c>
      <c r="F20" s="73">
        <f>'ПРИЛОЖ №2'!P59</f>
        <v>0</v>
      </c>
      <c r="G20" s="73">
        <f>'ПРИЛОЖ №2'!Q59</f>
        <v>0</v>
      </c>
      <c r="H20" s="73">
        <f>'ПРИЛОЖ №2'!R59</f>
        <v>0</v>
      </c>
      <c r="I20" s="73">
        <f>ПРИЛОЖ№3!I59</f>
        <v>0</v>
      </c>
      <c r="J20" s="73">
        <f>ПРИЛОЖ№3!J59</f>
        <v>0</v>
      </c>
      <c r="K20" s="73">
        <f>ПРИЛОЖ№4!I59</f>
        <v>0</v>
      </c>
      <c r="L20" s="73">
        <f>ПРИЛОЖ№4!J59</f>
        <v>0</v>
      </c>
      <c r="M20" s="73">
        <f>ПРИЛОЖ№5!C63</f>
        <v>91.91</v>
      </c>
      <c r="N20" s="73">
        <f>ПРИЛОЖ№5!E63</f>
        <v>370.54</v>
      </c>
      <c r="O20" s="73">
        <f t="shared" si="0"/>
        <v>370.54</v>
      </c>
    </row>
    <row r="21" spans="1:15" ht="25.5">
      <c r="A21" s="72">
        <v>6</v>
      </c>
      <c r="B21" s="31" t="s">
        <v>103</v>
      </c>
      <c r="C21" s="73">
        <f>'ПРИЛОЖ №1'!I61</f>
        <v>191.94</v>
      </c>
      <c r="D21" s="73">
        <f>'ПРИЛОЖ №1'!J61</f>
        <v>144.49</v>
      </c>
      <c r="E21" s="73">
        <f>'ПРИЛОЖ №2'!O60</f>
        <v>230.08</v>
      </c>
      <c r="F21" s="73">
        <f>'ПРИЛОЖ №2'!P60</f>
        <v>13.53</v>
      </c>
      <c r="G21" s="73">
        <f>'ПРИЛОЖ №2'!Q60</f>
        <v>11.49</v>
      </c>
      <c r="H21" s="73">
        <f>'ПРИЛОЖ №2'!R60</f>
        <v>10.27</v>
      </c>
      <c r="I21" s="73">
        <f>ПРИЛОЖ№3!I60</f>
        <v>0</v>
      </c>
      <c r="J21" s="73">
        <f>ПРИЛОЖ№3!J60</f>
        <v>0</v>
      </c>
      <c r="K21" s="73">
        <f>ПРИЛОЖ№4!I60</f>
        <v>0</v>
      </c>
      <c r="L21" s="73">
        <f>ПРИЛОЖ№4!J60</f>
        <v>0</v>
      </c>
      <c r="M21" s="73">
        <f>ПРИЛОЖ№5!C64</f>
        <v>13.54</v>
      </c>
      <c r="N21" s="73">
        <f>ПРИЛОЖ№5!E64</f>
        <v>33.31</v>
      </c>
      <c r="O21" s="73">
        <f t="shared" si="0"/>
        <v>199.56</v>
      </c>
    </row>
    <row r="22" spans="1:15" ht="25.5">
      <c r="A22" s="72">
        <v>7</v>
      </c>
      <c r="B22" s="31" t="s">
        <v>125</v>
      </c>
      <c r="C22" s="73">
        <f>'ПРИЛОЖ №1'!I62</f>
        <v>2033.86</v>
      </c>
      <c r="D22" s="73">
        <f>'ПРИЛОЖ №1'!J62</f>
        <v>1544.3</v>
      </c>
      <c r="E22" s="73">
        <f>'ПРИЛОЖ №2'!O61</f>
        <v>7196.44</v>
      </c>
      <c r="F22" s="73">
        <f>'ПРИЛОЖ №2'!P61</f>
        <v>423.36</v>
      </c>
      <c r="G22" s="73">
        <f>'ПРИЛОЖ №2'!Q61</f>
        <v>359.4</v>
      </c>
      <c r="H22" s="73">
        <f>'ПРИЛОЖ №2'!R61</f>
        <v>321.46</v>
      </c>
      <c r="I22" s="73">
        <f>ПРИЛОЖ№3!I61</f>
        <v>7071.62</v>
      </c>
      <c r="J22" s="73">
        <f>ПРИЛОЖ№3!J61</f>
        <v>307.93</v>
      </c>
      <c r="K22" s="73">
        <f>ПРИЛОЖ№4!I61</f>
        <v>14268.06</v>
      </c>
      <c r="L22" s="73">
        <f>ПРИЛОЖ№4!J61</f>
        <v>386.41</v>
      </c>
      <c r="M22" s="73">
        <f>ПРИЛОЖ№5!C65</f>
        <v>1097.63</v>
      </c>
      <c r="N22" s="73">
        <f>ПРИЛОЖ№5!E65</f>
        <v>3565.9</v>
      </c>
      <c r="O22" s="73">
        <f t="shared" si="0"/>
        <v>6485.4</v>
      </c>
    </row>
    <row r="23" spans="1:15" ht="25.5" customHeight="1">
      <c r="A23" s="72">
        <v>8</v>
      </c>
      <c r="B23" s="31" t="s">
        <v>56</v>
      </c>
      <c r="C23" s="73">
        <f>'ПРИЛОЖ №1'!I65</f>
        <v>61.87</v>
      </c>
      <c r="D23" s="73">
        <f>'ПРИЛОЖ №1'!J65</f>
        <v>46.98</v>
      </c>
      <c r="E23" s="73">
        <f>'ПРИЛОЖ №2'!O64</f>
        <v>47.54</v>
      </c>
      <c r="F23" s="73">
        <f>'ПРИЛОЖ №2'!P64</f>
        <v>2.8</v>
      </c>
      <c r="G23" s="73">
        <f>'ПРИЛОЖ №2'!Q64</f>
        <v>2.38</v>
      </c>
      <c r="H23" s="73">
        <f>'ПРИЛОЖ №2'!R64</f>
        <v>2.13</v>
      </c>
      <c r="I23" s="73">
        <f>ПРИЛОЖ№4!I65</f>
        <v>0</v>
      </c>
      <c r="J23" s="73">
        <f>ПРИЛОЖ№4!J65</f>
        <v>0</v>
      </c>
      <c r="K23" s="73">
        <f>ПРИЛОЖ№4!I65</f>
        <v>0</v>
      </c>
      <c r="L23" s="73">
        <f>ПРИЛОЖ№4!J65</f>
        <v>0</v>
      </c>
      <c r="M23" s="73">
        <f>ПРИЛОЖ№5!C68</f>
        <v>1631.18</v>
      </c>
      <c r="N23" s="73">
        <f>ПРИЛОЖ№5!E68</f>
        <v>5035.88</v>
      </c>
      <c r="O23" s="73">
        <f t="shared" si="0"/>
        <v>5087.37</v>
      </c>
    </row>
    <row r="24" spans="1:15" ht="25.5">
      <c r="A24" s="72">
        <v>9</v>
      </c>
      <c r="B24" s="31" t="s">
        <v>47</v>
      </c>
      <c r="C24" s="73">
        <f>'ПРИЛОЖ №1'!I68</f>
        <v>884.86</v>
      </c>
      <c r="D24" s="73">
        <f>'ПРИЛОЖ №1'!J68</f>
        <v>668.02</v>
      </c>
      <c r="E24" s="73">
        <f>'ПРИЛОЖ №2'!O67</f>
        <v>730.14</v>
      </c>
      <c r="F24" s="73">
        <f>'ПРИЛОЖ №2'!P67</f>
        <v>42.95</v>
      </c>
      <c r="G24" s="73">
        <f>'ПРИЛОЖ №2'!Q67</f>
        <v>36.52</v>
      </c>
      <c r="H24" s="73">
        <f>'ПРИЛОЖ №2'!R67</f>
        <v>32.64</v>
      </c>
      <c r="I24" s="73">
        <f>ПРИЛОЖ№3!I68</f>
        <v>1151.92</v>
      </c>
      <c r="J24" s="73">
        <f>ПРИЛОЖ№3!J68</f>
        <v>49.68</v>
      </c>
      <c r="K24" s="73">
        <f>ПРИЛОЖ№4!I68</f>
        <v>1882.06</v>
      </c>
      <c r="L24" s="73">
        <f>ПРИЛОЖ№4!J68</f>
        <v>191.34</v>
      </c>
      <c r="M24" s="73">
        <f>ПРИЛОЖ№5!C71</f>
        <v>84.85</v>
      </c>
      <c r="N24" s="73">
        <f>ПРИЛОЖ№5!E71</f>
        <v>329.98</v>
      </c>
      <c r="O24" s="73">
        <f t="shared" si="0"/>
        <v>1308.18</v>
      </c>
    </row>
    <row r="25" spans="1:15" ht="22.5" customHeight="1">
      <c r="A25" s="72"/>
      <c r="B25" s="93" t="s">
        <v>120</v>
      </c>
      <c r="C25" s="91">
        <f>C15+C16+C17+C18+C19+C20+C21+C22+C23+C24</f>
        <v>26833.56</v>
      </c>
      <c r="D25" s="91">
        <f>D15+D16+D17+D18+D19+D20+D21+D22+D23+D24</f>
        <v>20286.42</v>
      </c>
      <c r="E25" s="91">
        <f aca="true" t="shared" si="1" ref="E25:N25">E15+E16+E17+E18+E19+E20+E21+E22+E23+E24</f>
        <v>51364.71</v>
      </c>
      <c r="F25" s="91">
        <f>F15+F16+F17+F18+F19+F20+F21+F22+F23+F24</f>
        <v>3021.8</v>
      </c>
      <c r="G25" s="91">
        <f>G15+G16+G17+G18+G19+G20+G21+G22+G23+G24</f>
        <v>2572.14</v>
      </c>
      <c r="H25" s="91">
        <f>H15+H16+H17+H18+H19+H20+H21+H22+H23+H24</f>
        <v>2299.42</v>
      </c>
      <c r="I25" s="91">
        <f t="shared" si="1"/>
        <v>74402.9</v>
      </c>
      <c r="J25" s="91">
        <f t="shared" si="1"/>
        <v>3484.91</v>
      </c>
      <c r="K25" s="91">
        <f t="shared" si="1"/>
        <v>125490.16</v>
      </c>
      <c r="L25" s="91">
        <f t="shared" si="1"/>
        <v>4604.17</v>
      </c>
      <c r="M25" s="91">
        <f t="shared" si="1"/>
        <v>5551.63</v>
      </c>
      <c r="N25" s="91">
        <f t="shared" si="1"/>
        <v>19136.37</v>
      </c>
      <c r="O25" s="91">
        <f>SUM(O15:O24)</f>
        <v>52383.43</v>
      </c>
    </row>
    <row r="28" ht="12.75">
      <c r="O28" s="94"/>
    </row>
  </sheetData>
  <sheetProtection/>
  <mergeCells count="25">
    <mergeCell ref="A11:A14"/>
    <mergeCell ref="B11:B14"/>
    <mergeCell ref="C11:D12"/>
    <mergeCell ref="E11:H12"/>
    <mergeCell ref="C13:C14"/>
    <mergeCell ref="D13:D14"/>
    <mergeCell ref="K11:L12"/>
    <mergeCell ref="M11:N12"/>
    <mergeCell ref="E13:F13"/>
    <mergeCell ref="G13:H13"/>
    <mergeCell ref="I13:I14"/>
    <mergeCell ref="N13:N14"/>
    <mergeCell ref="J13:J14"/>
    <mergeCell ref="K13:K14"/>
    <mergeCell ref="L13:L14"/>
    <mergeCell ref="M1:O1"/>
    <mergeCell ref="M2:O2"/>
    <mergeCell ref="M3:O3"/>
    <mergeCell ref="O11:O14"/>
    <mergeCell ref="M13:M14"/>
    <mergeCell ref="A9:O9"/>
    <mergeCell ref="I11:J12"/>
    <mergeCell ref="M5:O5"/>
    <mergeCell ref="M6:O6"/>
    <mergeCell ref="M7:O7"/>
  </mergeCells>
  <printOptions/>
  <pageMargins left="0.11811023622047245" right="0.03937007874015748" top="0.31496062992125984" bottom="0.2362204724409449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2014-02-21T00:52:31Z</cp:lastPrinted>
  <dcterms:created xsi:type="dcterms:W3CDTF">2009-10-06T02:33:53Z</dcterms:created>
  <dcterms:modified xsi:type="dcterms:W3CDTF">2014-03-12T08:20:23Z</dcterms:modified>
  <cp:category/>
  <cp:version/>
  <cp:contentType/>
  <cp:contentStatus/>
</cp:coreProperties>
</file>