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'Лист1'!$A$1:$M$109</definedName>
  </definedNames>
  <calcPr fullCalcOnLoad="1"/>
</workbook>
</file>

<file path=xl/sharedStrings.xml><?xml version="1.0" encoding="utf-8"?>
<sst xmlns="http://schemas.openxmlformats.org/spreadsheetml/2006/main" count="570" uniqueCount="280">
  <si>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</si>
  <si>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</si>
  <si>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</si>
  <si>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</si>
  <si>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</si>
  <si>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</si>
  <si>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</si>
  <si>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</si>
  <si>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</si>
  <si>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</si>
  <si>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</si>
  <si>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</si>
  <si>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</si>
  <si>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</si>
  <si>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</si>
  <si>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</si>
  <si>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</si>
  <si>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</si>
  <si>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</si>
  <si>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6.1.</t>
  </si>
  <si>
    <t xml:space="preserve">   </t>
  </si>
  <si>
    <t>611   612    621    622</t>
  </si>
  <si>
    <t>Итого по задаче 6</t>
  </si>
  <si>
    <t>Восстановлена целостность ограждения территории по периметру в 16-ти учреждениях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</si>
  <si>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</si>
  <si>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</si>
  <si>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</si>
  <si>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</si>
  <si>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</si>
  <si>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</si>
  <si>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</si>
  <si>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</si>
  <si>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</si>
  <si>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</si>
  <si>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</si>
  <si>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</si>
  <si>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</si>
  <si>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</si>
  <si>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</si>
  <si>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</si>
  <si>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</si>
  <si>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</si>
  <si>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</si>
  <si>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</si>
  <si>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</si>
  <si>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</si>
  <si>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</si>
  <si>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</si>
  <si>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</si>
  <si>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</si>
  <si>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</si>
  <si>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</si>
  <si>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</si>
  <si>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</si>
  <si>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</si>
  <si>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</si>
  <si>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</si>
  <si>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</si>
  <si>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</si>
  <si>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</si>
  <si>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</si>
  <si>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</si>
  <si>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3.1.</t>
  </si>
  <si>
    <t>3.2.</t>
  </si>
  <si>
    <t>4.1.</t>
  </si>
  <si>
    <t>4.2.</t>
  </si>
  <si>
    <t>7.1.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</si>
  <si>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</si>
  <si>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</si>
  <si>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</si>
  <si>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</si>
  <si>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</si>
  <si>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</si>
  <si>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</si>
  <si>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</si>
  <si>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</si>
  <si>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</si>
  <si>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</si>
  <si>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</si>
  <si>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</si>
  <si>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</si>
  <si>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</si>
  <si>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</si>
  <si>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</si>
  <si>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</si>
  <si>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</si>
  <si>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</si>
  <si>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</si>
  <si>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</si>
  <si>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</si>
  <si>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</si>
  <si>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</si>
  <si>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</si>
  <si>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</si>
  <si>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</si>
  <si>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</si>
  <si>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</si>
  <si>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</si>
  <si>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</si>
  <si>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</si>
  <si>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 xml:space="preserve">  01.1.0074080        </t>
  </si>
  <si>
    <t xml:space="preserve"> 01.1.0085010      </t>
  </si>
  <si>
    <t>01.100S5630</t>
  </si>
  <si>
    <t xml:space="preserve">0701,  0702    </t>
  </si>
  <si>
    <t>0701        0702</t>
  </si>
  <si>
    <t>0702    0701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</si>
  <si>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</si>
  <si>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</si>
  <si>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</si>
  <si>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1260 детей из малообеспеченных семей получают бесплатное школьное питание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</si>
  <si>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</si>
  <si>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</si>
  <si>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</si>
  <si>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</si>
  <si>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</si>
  <si>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</si>
  <si>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</si>
  <si>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5-х учреждениях произведен текущий ремонт вытяжной вентиляции в помещении мастерских</t>
  </si>
  <si>
    <t>0701, 0702</t>
  </si>
  <si>
    <t>Руководитель управления образованием                                                               Л.Ф. Буйницкая</t>
  </si>
  <si>
    <t xml:space="preserve">  01.10015980</t>
  </si>
  <si>
    <t xml:space="preserve">  01.100S5980</t>
  </si>
  <si>
    <t xml:space="preserve">       01.10010490</t>
  </si>
  <si>
    <t xml:space="preserve">      01.1.0010490</t>
  </si>
  <si>
    <t>0703    0707 0709</t>
  </si>
  <si>
    <t xml:space="preserve">  01.1.008505П         </t>
  </si>
  <si>
    <t xml:space="preserve">  01.1.008505В        </t>
  </si>
  <si>
    <t xml:space="preserve">  01.1.E151690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</si>
  <si>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</si>
  <si>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</si>
  <si>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</si>
  <si>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</si>
  <si>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</si>
  <si>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</si>
  <si>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</si>
  <si>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      01.1.0053030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</si>
  <si>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</si>
  <si>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</si>
  <si>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</si>
  <si>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</si>
  <si>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</si>
  <si>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</si>
  <si>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 01.10074300      </t>
  </si>
  <si>
    <t>Произведен текущий ремонт спортивного зала в одном общеобразовательном учреждении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</si>
  <si>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</si>
  <si>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</si>
  <si>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</si>
  <si>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</si>
  <si>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</si>
  <si>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01.1.0089130</t>
  </si>
  <si>
    <t>2422 ребенка  начального общего образования получают бесплатное горячее питание</t>
  </si>
  <si>
    <t xml:space="preserve">  01.1R373980   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</si>
  <si>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</si>
  <si>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человек, услуги дошкольного образования получают 2677 человек</t>
  </si>
  <si>
    <t>Задача 2.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</si>
  <si>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2.2.</t>
  </si>
  <si>
    <t>Задача 3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</si>
  <si>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Итого по задаче 2</t>
  </si>
  <si>
    <t>Задача 4: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</si>
  <si>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4.3.</t>
  </si>
  <si>
    <t>Задача 5: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</si>
  <si>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Задача 6.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</si>
  <si>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6.2.</t>
  </si>
  <si>
    <t>Задача 7 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</si>
  <si>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Задача 8.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</si>
  <si>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8.2.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</si>
  <si>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 (тыс.рублей)</t>
  </si>
  <si>
    <t>01100L3040</t>
  </si>
  <si>
    <t xml:space="preserve">  01.1R373980   01.100S3980</t>
  </si>
  <si>
    <t>Расходы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</si>
  <si>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</si>
  <si>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>Обеспечение образовательных организаций материально-технической базой для внедрения  цифровой образовательной среды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</si>
  <si>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</si>
  <si>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</si>
  <si>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</si>
  <si>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</si>
  <si>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</si>
  <si>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</si>
  <si>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0701      0702</t>
  </si>
  <si>
    <t>0701                        0702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</si>
  <si>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</si>
  <si>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 xml:space="preserve">           01.10077450</t>
  </si>
  <si>
    <t>612   612    621    622</t>
  </si>
  <si>
    <t>В 2 образовательных учреждениях произведено оснащение медицинских кабинетов</t>
  </si>
  <si>
    <t>Субсидии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</si>
  <si>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   01.1.0089460</t>
  </si>
  <si>
    <t xml:space="preserve">           01.100S5620</t>
  </si>
  <si>
    <t>Итого за период  2022-2024 годы</t>
  </si>
  <si>
    <t>0703</t>
  </si>
  <si>
    <t xml:space="preserve">    01.1.0010500</t>
  </si>
  <si>
    <t xml:space="preserve">    01.1.001050Р</t>
  </si>
  <si>
    <t xml:space="preserve">  01.1.E452100   01100S2100</t>
  </si>
  <si>
    <t>Софинансирование расходов, предусмотренных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 в рамках подпрограммы "Развитие дошкольного, общего и дополнительного образования"</t>
  </si>
  <si>
    <t xml:space="preserve"> 01.100S0271</t>
  </si>
  <si>
    <t>01.100S5590</t>
  </si>
  <si>
    <t>Софинансирование на проведение мероприятий по обеспечению антитеррорестической защищенности объектов образования в рамках подпрограммы "Развитие дошкольного, общего и дополнительного образования"</t>
  </si>
  <si>
    <t>Приложение № 4</t>
  </si>
  <si>
    <t xml:space="preserve">к постановлению Администрации города Шарыпово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</si>
  <si>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</si>
  <si>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Региональные выплаты, обеспечивающие уровень заработной платы не ниже МРЗП 19408 руб.</t>
  </si>
  <si>
    <t>1.5.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</si>
  <si>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"Развитие дошкольного , общего и дополнительного образования"</t>
  </si>
  <si>
    <t>1.6.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</si>
  <si>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"Развитие дошкольного, общего и дополнительного образования"</t>
  </si>
  <si>
    <t>1.7.</t>
  </si>
  <si>
    <t>2677  детей посещающие дошкольные образовательные учреждения, обеспечены питанием</t>
  </si>
  <si>
    <t>1.8.</t>
  </si>
  <si>
    <t xml:space="preserve">14 детей получают льготу </t>
  </si>
  <si>
    <t>1.9.</t>
  </si>
  <si>
    <t>1.10.</t>
  </si>
  <si>
    <t>1.11.</t>
  </si>
  <si>
    <t>Расходы по обеспечению безопасных условий обучения в соответствии с требованиями к антитеррористической защищенности объектов в рамках подпрограммы "Развитие дошкольного, общего и дополнительного образования"</t>
  </si>
  <si>
    <t>Соданы безопасные условия в соответствии с требованиями к антитеррористической защищенности для 2677 детей</t>
  </si>
  <si>
    <t>1.12.</t>
  </si>
  <si>
    <t>1.13.</t>
  </si>
  <si>
    <t>1.14.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</si>
  <si>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2019 год - 16 детей, 2020 год - 16 детей, 2021 год - 16 детей, 2022 год - 16 детей, 2023 год - 16 детей</t>
  </si>
  <si>
    <t>2.1.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</si>
  <si>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</si>
  <si>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4.4.</t>
  </si>
  <si>
    <t>4.5.</t>
  </si>
  <si>
    <t>Профилактические мероприятия по предотвращению распространения коронавирусной инфекции, вызванной 2019-nCoV</t>
  </si>
  <si>
    <t>4.6.</t>
  </si>
  <si>
    <t>4.7.</t>
  </si>
  <si>
    <t>Субсидии бюджетам муниципальных образований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образования"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</si>
  <si>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</si>
  <si>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</si>
  <si>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</si>
  <si>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</si>
  <si>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</si>
  <si>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</si>
  <si>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</si>
  <si>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</si>
  <si>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</si>
  <si>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</si>
  <si>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4.17.</t>
  </si>
  <si>
    <t>Софинансирование к расходам, предусмотренным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</si>
  <si>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>4.18.</t>
  </si>
  <si>
    <t>4.19.</t>
  </si>
  <si>
    <t>4.20.</t>
  </si>
  <si>
    <t>Субсидии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</si>
  <si>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4.21.</t>
  </si>
  <si>
    <t>4.22.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</si>
  <si>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аварийном состоянии в рамках подпрограммы "Развитие дошкольного, общего и дополнительного образования"</t>
  </si>
  <si>
    <t>4.23.</t>
  </si>
  <si>
    <t xml:space="preserve">Оснащение медицинских кабинетов </t>
  </si>
  <si>
    <t>4.24.</t>
  </si>
  <si>
    <t>4.25.</t>
  </si>
  <si>
    <t>4.26.</t>
  </si>
  <si>
    <t>Ежегодно 6302 человека получают услуги дополнительного образования</t>
  </si>
  <si>
    <t>5.2.</t>
  </si>
  <si>
    <t>Расходы предусмотренные на функционирование муниципального опорного центра дополнительного образования детей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</si>
  <si>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5.3.</t>
  </si>
  <si>
    <t>5.4.</t>
  </si>
  <si>
    <t>5.5.</t>
  </si>
  <si>
    <t>5.6.</t>
  </si>
  <si>
    <t>5.7.</t>
  </si>
  <si>
    <t>5.8.</t>
  </si>
  <si>
    <t>5.9.</t>
  </si>
  <si>
    <t>5.10.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</si>
  <si>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</si>
  <si>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5.11.</t>
  </si>
  <si>
    <t>5.12.</t>
  </si>
  <si>
    <t>5.13.</t>
  </si>
  <si>
    <t>5.14.</t>
  </si>
  <si>
    <t>5.15.</t>
  </si>
  <si>
    <t>5.16.</t>
  </si>
  <si>
    <t>В 2-х учреждениях произведен текущий ремонт водоснабжения и канализации в помещении мастерских</t>
  </si>
  <si>
    <t>6.3.</t>
  </si>
  <si>
    <t>6.4.</t>
  </si>
  <si>
    <t>6.5.</t>
  </si>
  <si>
    <t>6.6.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</si>
  <si>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</si>
  <si>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6.7.</t>
  </si>
  <si>
    <t>6.8.</t>
  </si>
  <si>
    <t>6.9.</t>
  </si>
  <si>
    <t>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</si>
  <si>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 xml:space="preserve">Восстановление наружного освещения </t>
  </si>
  <si>
    <t>Восстановлено наружное освещение в 18-ти учреждениях</t>
  </si>
  <si>
    <t>от 06.05.2022 года № 128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</si>
</sst>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center" wrapText="1"/>
    </xf>
    <xf numFmtId="183" fontId="1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tabSelected="1" view="pageBreakPreview" zoomScale="75" zoomScaleNormal="75" zoomScaleSheetLayoutView="75" zoomScalePageLayoutView="0" workbookViewId="0" topLeftCell="A3">
      <selection activeCell="H9" sqref="H9"/>
    </sheetView>
  </sheetViews>
  <sheetFormatPr defaultColWidth="9.00390625" defaultRowHeight="12.75"/>
  <cols>
    <col min="1" max="1" width="5.375" style="94" customWidth="1"/>
    <col min="2" max="2" width="39.00390625" style="95" customWidth="1"/>
    <col min="3" max="3" width="15.625" style="95" customWidth="1"/>
    <col min="4" max="4" width="7.625" style="95" customWidth="1"/>
    <col min="5" max="5" width="8.75390625" style="95" customWidth="1"/>
    <col min="6" max="6" width="14.625" style="95" customWidth="1"/>
    <col min="7" max="7" width="6.125" style="95" customWidth="1"/>
    <col min="8" max="8" width="12.75390625" style="95" customWidth="1"/>
    <col min="9" max="9" width="13.125" style="95" customWidth="1"/>
    <col min="10" max="10" width="13.25390625" style="95" customWidth="1"/>
    <col min="11" max="11" width="14.125" style="95" customWidth="1"/>
    <col min="12" max="12" width="25.00390625" style="95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135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1.75" customHeight="1" hidden="1">
      <c r="A2" s="24"/>
      <c r="B2" s="25"/>
      <c r="C2" s="25"/>
      <c r="D2" s="25"/>
      <c r="E2" s="25"/>
      <c r="F2" s="125" t="s">
        <v>42</v>
      </c>
      <c r="G2" s="125"/>
      <c r="H2" s="125"/>
      <c r="I2" s="125"/>
      <c r="J2" s="125"/>
      <c r="K2" s="125"/>
      <c r="L2" s="125"/>
    </row>
    <row r="3" spans="1:12" ht="21.75" customHeight="1">
      <c r="A3" s="135" t="s">
        <v>196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1.75" customHeight="1">
      <c r="A4" s="135" t="s">
        <v>197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21.75" customHeight="1">
      <c r="A5" s="135" t="s">
        <v>279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5" customHeight="1">
      <c r="A6" s="135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21.75" customHeight="1" hidden="1">
      <c r="A7" s="135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ht="21.75" customHeight="1" hidden="1">
      <c r="A8" s="13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21.75" customHeight="1">
      <c r="A9" s="24"/>
      <c r="B9" s="26"/>
      <c r="C9" s="26"/>
      <c r="D9" s="26"/>
      <c r="E9" s="26"/>
      <c r="F9" s="26"/>
      <c r="G9" s="26"/>
      <c r="H9" s="26"/>
      <c r="I9" s="26"/>
      <c r="J9" s="26"/>
      <c r="K9" s="124" t="s">
        <v>51</v>
      </c>
      <c r="L9" s="124"/>
    </row>
    <row r="10" spans="1:12" ht="18.75" customHeight="1">
      <c r="A10" s="124" t="s">
        <v>112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3.5" customHeight="1">
      <c r="A11" s="124" t="s">
        <v>52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5.75" customHeight="1">
      <c r="A12" s="124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5.7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51.75" customHeight="1">
      <c r="A14" s="126" t="s">
        <v>166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8"/>
      <c r="L14" s="128"/>
    </row>
    <row r="15" spans="1:12" ht="40.5" customHeight="1">
      <c r="A15" s="134" t="s">
        <v>0</v>
      </c>
      <c r="B15" s="129" t="s">
        <v>2</v>
      </c>
      <c r="C15" s="16"/>
      <c r="D15" s="129" t="s">
        <v>4</v>
      </c>
      <c r="E15" s="129"/>
      <c r="F15" s="129"/>
      <c r="G15" s="129"/>
      <c r="H15" s="130"/>
      <c r="I15" s="106"/>
      <c r="J15" s="131"/>
      <c r="K15" s="129" t="s">
        <v>187</v>
      </c>
      <c r="L15" s="129" t="s">
        <v>8</v>
      </c>
    </row>
    <row r="16" spans="1:12" ht="40.5" customHeight="1">
      <c r="A16" s="134"/>
      <c r="B16" s="129"/>
      <c r="C16" s="16" t="s">
        <v>3</v>
      </c>
      <c r="D16" s="16" t="s">
        <v>3</v>
      </c>
      <c r="E16" s="16" t="s">
        <v>5</v>
      </c>
      <c r="F16" s="16" t="s">
        <v>6</v>
      </c>
      <c r="G16" s="16" t="s">
        <v>7</v>
      </c>
      <c r="H16" s="16">
        <v>2022</v>
      </c>
      <c r="I16" s="16">
        <v>2023</v>
      </c>
      <c r="J16" s="16">
        <v>2024</v>
      </c>
      <c r="K16" s="129"/>
      <c r="L16" s="129"/>
    </row>
    <row r="17" spans="1:12" s="3" customFormat="1" ht="18.75" customHeight="1">
      <c r="A17" s="132" t="s">
        <v>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3"/>
    </row>
    <row r="18" spans="1:12" ht="22.5" customHeight="1">
      <c r="A18" s="121" t="s">
        <v>17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</row>
    <row r="19" spans="1:12" s="7" customFormat="1" ht="356.25" customHeight="1">
      <c r="A19" s="12" t="s">
        <v>57</v>
      </c>
      <c r="B19" s="68" t="s">
        <v>172</v>
      </c>
      <c r="C19" s="96" t="s">
        <v>78</v>
      </c>
      <c r="D19" s="12" t="s">
        <v>27</v>
      </c>
      <c r="E19" s="12" t="s">
        <v>28</v>
      </c>
      <c r="F19" s="15" t="s">
        <v>94</v>
      </c>
      <c r="G19" s="16" t="s">
        <v>21</v>
      </c>
      <c r="H19" s="27">
        <f>175152.6+3485.5</f>
        <v>178638.1</v>
      </c>
      <c r="I19" s="27">
        <f>175152.6</f>
        <v>175152.6</v>
      </c>
      <c r="J19" s="27">
        <f>175152.6</f>
        <v>175152.6</v>
      </c>
      <c r="K19" s="28">
        <f aca="true" t="shared" si="0" ref="K19:K31">SUM(H19:J19)</f>
        <v>528943.3</v>
      </c>
      <c r="L19" s="16" t="s">
        <v>53</v>
      </c>
    </row>
    <row r="20" spans="1:12" s="7" customFormat="1" ht="357" customHeight="1">
      <c r="A20" s="12" t="s">
        <v>58</v>
      </c>
      <c r="B20" s="68" t="s">
        <v>198</v>
      </c>
      <c r="C20" s="96" t="s">
        <v>78</v>
      </c>
      <c r="D20" s="12" t="s">
        <v>27</v>
      </c>
      <c r="E20" s="12" t="s">
        <v>28</v>
      </c>
      <c r="F20" s="15" t="s">
        <v>100</v>
      </c>
      <c r="G20" s="16" t="s">
        <v>21</v>
      </c>
      <c r="H20" s="17">
        <f>89311.5+2166.67</f>
        <v>91478.17</v>
      </c>
      <c r="I20" s="17">
        <f>89311.5</f>
        <v>89311.5</v>
      </c>
      <c r="J20" s="17">
        <f>89311.5</f>
        <v>89311.5</v>
      </c>
      <c r="K20" s="27">
        <f t="shared" si="0"/>
        <v>270101.17</v>
      </c>
      <c r="L20" s="16" t="s">
        <v>53</v>
      </c>
    </row>
    <row r="21" spans="1:12" s="7" customFormat="1" ht="95.25" customHeight="1">
      <c r="A21" s="12" t="s">
        <v>59</v>
      </c>
      <c r="B21" s="29" t="s">
        <v>37</v>
      </c>
      <c r="C21" s="96" t="s">
        <v>78</v>
      </c>
      <c r="D21" s="30" t="s">
        <v>27</v>
      </c>
      <c r="E21" s="30" t="s">
        <v>28</v>
      </c>
      <c r="F21" s="31" t="s">
        <v>101</v>
      </c>
      <c r="G21" s="32" t="s">
        <v>21</v>
      </c>
      <c r="H21" s="17">
        <f>42316.64+507.69</f>
        <v>42824.33</v>
      </c>
      <c r="I21" s="17">
        <f>42316.64</f>
        <v>42316.64</v>
      </c>
      <c r="J21" s="17">
        <f>42316.64</f>
        <v>42316.64</v>
      </c>
      <c r="K21" s="28">
        <f t="shared" si="0"/>
        <v>127457.61</v>
      </c>
      <c r="L21" s="33" t="s">
        <v>54</v>
      </c>
    </row>
    <row r="22" spans="1:12" s="7" customFormat="1" ht="93.75" customHeight="1">
      <c r="A22" s="12" t="s">
        <v>60</v>
      </c>
      <c r="B22" s="29" t="s">
        <v>199</v>
      </c>
      <c r="C22" s="96" t="s">
        <v>78</v>
      </c>
      <c r="D22" s="30" t="s">
        <v>27</v>
      </c>
      <c r="E22" s="30" t="s">
        <v>28</v>
      </c>
      <c r="F22" s="31" t="s">
        <v>122</v>
      </c>
      <c r="G22" s="32" t="s">
        <v>21</v>
      </c>
      <c r="H22" s="17">
        <f>3884.09</f>
        <v>3884.09</v>
      </c>
      <c r="I22" s="17"/>
      <c r="J22" s="17"/>
      <c r="K22" s="28">
        <f t="shared" si="0"/>
        <v>3884.09</v>
      </c>
      <c r="L22" s="33"/>
    </row>
    <row r="23" spans="1:12" s="7" customFormat="1" ht="114" customHeight="1">
      <c r="A23" s="12" t="s">
        <v>200</v>
      </c>
      <c r="B23" s="34" t="s">
        <v>201</v>
      </c>
      <c r="C23" s="96" t="s">
        <v>78</v>
      </c>
      <c r="D23" s="35" t="s">
        <v>27</v>
      </c>
      <c r="E23" s="36" t="s">
        <v>28</v>
      </c>
      <c r="F23" s="15" t="s">
        <v>189</v>
      </c>
      <c r="G23" s="16" t="s">
        <v>21</v>
      </c>
      <c r="H23" s="37">
        <v>429.66</v>
      </c>
      <c r="I23" s="37"/>
      <c r="J23" s="37"/>
      <c r="K23" s="38">
        <f>SUM(H23:J23)</f>
        <v>429.66</v>
      </c>
      <c r="L23" s="21"/>
    </row>
    <row r="24" spans="1:12" s="7" customFormat="1" ht="117.75" customHeight="1">
      <c r="A24" s="12" t="s">
        <v>202</v>
      </c>
      <c r="B24" s="34" t="s">
        <v>203</v>
      </c>
      <c r="C24" s="96" t="s">
        <v>78</v>
      </c>
      <c r="D24" s="35" t="s">
        <v>27</v>
      </c>
      <c r="E24" s="36" t="s">
        <v>28</v>
      </c>
      <c r="F24" s="15" t="s">
        <v>190</v>
      </c>
      <c r="G24" s="16" t="s">
        <v>21</v>
      </c>
      <c r="H24" s="37">
        <v>195.3</v>
      </c>
      <c r="I24" s="37"/>
      <c r="J24" s="37"/>
      <c r="K24" s="38">
        <f>SUM(H24:J24)</f>
        <v>195.3</v>
      </c>
      <c r="L24" s="21"/>
    </row>
    <row r="25" spans="1:12" s="7" customFormat="1" ht="117" customHeight="1">
      <c r="A25" s="12" t="s">
        <v>204</v>
      </c>
      <c r="B25" s="29" t="s">
        <v>72</v>
      </c>
      <c r="C25" s="96" t="s">
        <v>78</v>
      </c>
      <c r="D25" s="30" t="s">
        <v>27</v>
      </c>
      <c r="E25" s="30" t="s">
        <v>28</v>
      </c>
      <c r="F25" s="31" t="s">
        <v>82</v>
      </c>
      <c r="G25" s="32" t="s">
        <v>21</v>
      </c>
      <c r="H25" s="17">
        <f>31001.9</f>
        <v>31001.9</v>
      </c>
      <c r="I25" s="17">
        <f>31001.9</f>
        <v>31001.9</v>
      </c>
      <c r="J25" s="17">
        <f>31001.9</f>
        <v>31001.9</v>
      </c>
      <c r="K25" s="28">
        <f t="shared" si="0"/>
        <v>93005.70000000001</v>
      </c>
      <c r="L25" s="33" t="s">
        <v>205</v>
      </c>
    </row>
    <row r="26" spans="1:12" s="3" customFormat="1" ht="246.75" customHeight="1">
      <c r="A26" s="12" t="s">
        <v>206</v>
      </c>
      <c r="B26" s="39" t="s">
        <v>49</v>
      </c>
      <c r="C26" s="16" t="s">
        <v>78</v>
      </c>
      <c r="D26" s="12" t="s">
        <v>27</v>
      </c>
      <c r="E26" s="16">
        <v>1003</v>
      </c>
      <c r="F26" s="12" t="s">
        <v>83</v>
      </c>
      <c r="G26" s="16" t="s">
        <v>21</v>
      </c>
      <c r="H26" s="27">
        <f>844.8</f>
        <v>844.8</v>
      </c>
      <c r="I26" s="27">
        <f>844.8</f>
        <v>844.8</v>
      </c>
      <c r="J26" s="27">
        <f>844.8</f>
        <v>844.8</v>
      </c>
      <c r="K26" s="28">
        <f t="shared" si="0"/>
        <v>2534.3999999999996</v>
      </c>
      <c r="L26" s="23" t="s">
        <v>207</v>
      </c>
    </row>
    <row r="27" spans="1:13" s="7" customFormat="1" ht="150" customHeight="1">
      <c r="A27" s="12" t="s">
        <v>208</v>
      </c>
      <c r="B27" s="39" t="s">
        <v>43</v>
      </c>
      <c r="C27" s="96" t="s">
        <v>78</v>
      </c>
      <c r="D27" s="12" t="s">
        <v>27</v>
      </c>
      <c r="E27" s="12" t="s">
        <v>28</v>
      </c>
      <c r="F27" s="16" t="s">
        <v>84</v>
      </c>
      <c r="G27" s="16" t="s">
        <v>21</v>
      </c>
      <c r="H27" s="27">
        <f>38545.71</f>
        <v>38545.71</v>
      </c>
      <c r="I27" s="27">
        <f>38545.71</f>
        <v>38545.71</v>
      </c>
      <c r="J27" s="27">
        <f>38545.71</f>
        <v>38545.71</v>
      </c>
      <c r="K27" s="28">
        <f t="shared" si="0"/>
        <v>115637.13</v>
      </c>
      <c r="L27" s="23" t="s">
        <v>61</v>
      </c>
      <c r="M27" s="7" t="s">
        <v>20</v>
      </c>
    </row>
    <row r="28" spans="1:12" s="7" customFormat="1" ht="146.25" customHeight="1">
      <c r="A28" s="12" t="s">
        <v>209</v>
      </c>
      <c r="B28" s="39" t="s">
        <v>43</v>
      </c>
      <c r="C28" s="96" t="s">
        <v>78</v>
      </c>
      <c r="D28" s="12" t="s">
        <v>27</v>
      </c>
      <c r="E28" s="12" t="s">
        <v>28</v>
      </c>
      <c r="F28" s="16" t="s">
        <v>136</v>
      </c>
      <c r="G28" s="16" t="s">
        <v>21</v>
      </c>
      <c r="H28" s="27">
        <v>204.41</v>
      </c>
      <c r="I28" s="27">
        <v>204.41</v>
      </c>
      <c r="J28" s="27">
        <v>204.41</v>
      </c>
      <c r="K28" s="28">
        <f>SUM(H28:J28)</f>
        <v>613.23</v>
      </c>
      <c r="L28" s="23" t="s">
        <v>61</v>
      </c>
    </row>
    <row r="29" spans="1:12" s="7" customFormat="1" ht="119.25" customHeight="1">
      <c r="A29" s="12" t="s">
        <v>210</v>
      </c>
      <c r="B29" s="39" t="s">
        <v>211</v>
      </c>
      <c r="C29" s="96" t="s">
        <v>78</v>
      </c>
      <c r="D29" s="12" t="s">
        <v>27</v>
      </c>
      <c r="E29" s="12" t="s">
        <v>118</v>
      </c>
      <c r="F29" s="12" t="s">
        <v>185</v>
      </c>
      <c r="G29" s="16" t="s">
        <v>21</v>
      </c>
      <c r="H29" s="27">
        <f>6017</f>
        <v>6017</v>
      </c>
      <c r="I29" s="27">
        <f>6017</f>
        <v>6017</v>
      </c>
      <c r="J29" s="27">
        <f>6017</f>
        <v>6017</v>
      </c>
      <c r="K29" s="28">
        <f>SUM(H29:J29)</f>
        <v>18051</v>
      </c>
      <c r="L29" s="23" t="s">
        <v>212</v>
      </c>
    </row>
    <row r="30" spans="1:12" s="7" customFormat="1" ht="166.5" customHeight="1">
      <c r="A30" s="12" t="s">
        <v>213</v>
      </c>
      <c r="B30" s="39" t="s">
        <v>44</v>
      </c>
      <c r="C30" s="96" t="s">
        <v>78</v>
      </c>
      <c r="D30" s="12" t="s">
        <v>27</v>
      </c>
      <c r="E30" s="16">
        <v>1004</v>
      </c>
      <c r="F30" s="12" t="s">
        <v>85</v>
      </c>
      <c r="G30" s="16" t="s">
        <v>32</v>
      </c>
      <c r="H30" s="27">
        <f>5960.1</f>
        <v>5960.1</v>
      </c>
      <c r="I30" s="27">
        <f>5960.1</f>
        <v>5960.1</v>
      </c>
      <c r="J30" s="27">
        <f>5960.1</f>
        <v>5960.1</v>
      </c>
      <c r="K30" s="28">
        <f t="shared" si="0"/>
        <v>17880.300000000003</v>
      </c>
      <c r="L30" s="23" t="s">
        <v>55</v>
      </c>
    </row>
    <row r="31" spans="1:12" s="7" customFormat="1" ht="90" customHeight="1">
      <c r="A31" s="12" t="s">
        <v>214</v>
      </c>
      <c r="B31" s="41" t="s">
        <v>113</v>
      </c>
      <c r="C31" s="96" t="s">
        <v>78</v>
      </c>
      <c r="D31" s="35" t="s">
        <v>27</v>
      </c>
      <c r="E31" s="16"/>
      <c r="F31" s="16"/>
      <c r="G31" s="16"/>
      <c r="H31" s="16">
        <f>31700+1775.83+298</f>
        <v>33773.83</v>
      </c>
      <c r="I31" s="16">
        <v>31700</v>
      </c>
      <c r="J31" s="16">
        <v>31700</v>
      </c>
      <c r="K31" s="27">
        <f t="shared" si="0"/>
        <v>97173.83</v>
      </c>
      <c r="L31" s="23" t="s">
        <v>56</v>
      </c>
    </row>
    <row r="32" spans="1:12" ht="225.75" customHeight="1">
      <c r="A32" s="12" t="s">
        <v>215</v>
      </c>
      <c r="B32" s="42" t="s">
        <v>45</v>
      </c>
      <c r="C32" s="96" t="s">
        <v>78</v>
      </c>
      <c r="D32" s="12" t="s">
        <v>27</v>
      </c>
      <c r="E32" s="43" t="s">
        <v>29</v>
      </c>
      <c r="F32" s="43" t="s">
        <v>86</v>
      </c>
      <c r="G32" s="16" t="s">
        <v>21</v>
      </c>
      <c r="H32" s="44">
        <f>116.3</f>
        <v>116.3</v>
      </c>
      <c r="I32" s="44">
        <f>116.3</f>
        <v>116.3</v>
      </c>
      <c r="J32" s="44">
        <f>116.3</f>
        <v>116.3</v>
      </c>
      <c r="K32" s="45">
        <f>SUM(H32:J32)</f>
        <v>348.9</v>
      </c>
      <c r="L32" s="42" t="s">
        <v>216</v>
      </c>
    </row>
    <row r="33" spans="1:12" s="3" customFormat="1" ht="24.75" customHeight="1">
      <c r="A33" s="105" t="s">
        <v>18</v>
      </c>
      <c r="B33" s="106"/>
      <c r="C33" s="106"/>
      <c r="D33" s="46"/>
      <c r="E33" s="47"/>
      <c r="F33" s="47"/>
      <c r="G33" s="47"/>
      <c r="H33" s="28">
        <f>SUM(H19:H32)</f>
        <v>433913.7</v>
      </c>
      <c r="I33" s="28">
        <f>SUM(I19:I32)</f>
        <v>421170.95999999996</v>
      </c>
      <c r="J33" s="28">
        <f>SUM(J19:J32)</f>
        <v>421170.95999999996</v>
      </c>
      <c r="K33" s="28">
        <f>SUM(K19:K32)</f>
        <v>1276255.62</v>
      </c>
      <c r="L33" s="47"/>
    </row>
    <row r="34" spans="1:15" ht="36.75" customHeight="1">
      <c r="A34" s="118" t="s">
        <v>154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5"/>
      <c r="N34" s="5"/>
      <c r="O34" s="5"/>
    </row>
    <row r="35" spans="1:12" ht="149.25" customHeight="1">
      <c r="A35" s="12" t="s">
        <v>217</v>
      </c>
      <c r="B35" s="42" t="s">
        <v>173</v>
      </c>
      <c r="C35" s="96" t="s">
        <v>78</v>
      </c>
      <c r="D35" s="12" t="s">
        <v>27</v>
      </c>
      <c r="E35" s="48" t="s">
        <v>28</v>
      </c>
      <c r="F35" s="48"/>
      <c r="G35" s="16" t="s">
        <v>21</v>
      </c>
      <c r="H35" s="49"/>
      <c r="I35" s="49"/>
      <c r="J35" s="49"/>
      <c r="K35" s="50">
        <f>SUM(H35:H35)</f>
        <v>0</v>
      </c>
      <c r="L35" s="42" t="s">
        <v>108</v>
      </c>
    </row>
    <row r="36" spans="1:12" ht="165.75" customHeight="1">
      <c r="A36" s="12" t="s">
        <v>155</v>
      </c>
      <c r="B36" s="42" t="s">
        <v>50</v>
      </c>
      <c r="C36" s="96" t="s">
        <v>78</v>
      </c>
      <c r="D36" s="12" t="s">
        <v>27</v>
      </c>
      <c r="E36" s="48" t="s">
        <v>30</v>
      </c>
      <c r="F36" s="48"/>
      <c r="G36" s="16" t="s">
        <v>21</v>
      </c>
      <c r="H36" s="49"/>
      <c r="I36" s="49"/>
      <c r="J36" s="49"/>
      <c r="K36" s="50">
        <f>SUM(H36:H36)</f>
        <v>0</v>
      </c>
      <c r="L36" s="42" t="s">
        <v>108</v>
      </c>
    </row>
    <row r="37" spans="1:12" ht="21" customHeight="1">
      <c r="A37" s="51"/>
      <c r="B37" s="47" t="s">
        <v>157</v>
      </c>
      <c r="C37" s="47"/>
      <c r="D37" s="47"/>
      <c r="E37" s="52"/>
      <c r="F37" s="53"/>
      <c r="G37" s="53"/>
      <c r="H37" s="28">
        <f>SUM(H35:H36)</f>
        <v>0</v>
      </c>
      <c r="I37" s="28">
        <f>SUM(I35:I36)</f>
        <v>0</v>
      </c>
      <c r="J37" s="28"/>
      <c r="K37" s="28">
        <f>SUM(K35:K36)</f>
        <v>0</v>
      </c>
      <c r="L37" s="28">
        <f>SUM(L35:L36)</f>
        <v>0</v>
      </c>
    </row>
    <row r="38" spans="1:13" s="1" customFormat="1" ht="47.25" customHeight="1">
      <c r="A38" s="107" t="s">
        <v>156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  <c r="M38" s="4"/>
    </row>
    <row r="39" spans="1:13" s="1" customFormat="1" ht="165" customHeight="1">
      <c r="A39" s="54" t="s">
        <v>62</v>
      </c>
      <c r="B39" s="42" t="s">
        <v>1</v>
      </c>
      <c r="C39" s="96" t="s">
        <v>78</v>
      </c>
      <c r="D39" s="35" t="s">
        <v>27</v>
      </c>
      <c r="E39" s="42"/>
      <c r="F39" s="42"/>
      <c r="G39" s="42"/>
      <c r="H39" s="55"/>
      <c r="I39" s="55"/>
      <c r="J39" s="55"/>
      <c r="K39" s="53">
        <f>SUM(H39:H39)</f>
        <v>0</v>
      </c>
      <c r="L39" s="42" t="s">
        <v>114</v>
      </c>
      <c r="M39" s="2"/>
    </row>
    <row r="40" spans="1:13" s="1" customFormat="1" ht="80.25" customHeight="1">
      <c r="A40" s="54" t="s">
        <v>63</v>
      </c>
      <c r="B40" s="42" t="s">
        <v>12</v>
      </c>
      <c r="C40" s="96" t="s">
        <v>78</v>
      </c>
      <c r="D40" s="35" t="s">
        <v>27</v>
      </c>
      <c r="E40" s="42"/>
      <c r="F40" s="42"/>
      <c r="G40" s="42"/>
      <c r="H40" s="55"/>
      <c r="I40" s="55"/>
      <c r="J40" s="55"/>
      <c r="K40" s="53">
        <f>SUM(H40:H40)</f>
        <v>0</v>
      </c>
      <c r="L40" s="42" t="s">
        <v>13</v>
      </c>
      <c r="M40" s="2"/>
    </row>
    <row r="41" spans="1:13" s="1" customFormat="1" ht="25.5" customHeight="1">
      <c r="A41" s="56"/>
      <c r="B41" s="52" t="s">
        <v>14</v>
      </c>
      <c r="C41" s="52"/>
      <c r="D41" s="47"/>
      <c r="E41" s="52"/>
      <c r="F41" s="52"/>
      <c r="G41" s="52"/>
      <c r="H41" s="28">
        <f>SUM(H39:H40)</f>
        <v>0</v>
      </c>
      <c r="I41" s="28"/>
      <c r="J41" s="28"/>
      <c r="K41" s="28">
        <f>SUM(K39:K40)</f>
        <v>0</v>
      </c>
      <c r="L41" s="52"/>
      <c r="M41" s="2"/>
    </row>
    <row r="42" spans="1:13" s="1" customFormat="1" ht="36" customHeight="1">
      <c r="A42" s="110" t="s">
        <v>158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2"/>
    </row>
    <row r="43" spans="1:13" s="9" customFormat="1" ht="373.5" customHeight="1">
      <c r="A43" s="18" t="s">
        <v>64</v>
      </c>
      <c r="B43" s="68" t="s">
        <v>174</v>
      </c>
      <c r="C43" s="96" t="s">
        <v>78</v>
      </c>
      <c r="D43" s="18" t="s">
        <v>27</v>
      </c>
      <c r="E43" s="19" t="s">
        <v>111</v>
      </c>
      <c r="F43" s="19" t="s">
        <v>96</v>
      </c>
      <c r="G43" s="16" t="s">
        <v>21</v>
      </c>
      <c r="H43" s="20">
        <f>232500.4</f>
        <v>232500.4</v>
      </c>
      <c r="I43" s="20">
        <f>232500.4</f>
        <v>232500.4</v>
      </c>
      <c r="J43" s="20">
        <f>232500.4</f>
        <v>232500.4</v>
      </c>
      <c r="K43" s="57">
        <f aca="true" t="shared" si="1" ref="K43:K68">SUM(H43:J43)</f>
        <v>697501.2</v>
      </c>
      <c r="L43" s="21" t="s">
        <v>152</v>
      </c>
      <c r="M43" s="8"/>
    </row>
    <row r="44" spans="1:13" s="9" customFormat="1" ht="355.5" customHeight="1">
      <c r="A44" s="18" t="s">
        <v>65</v>
      </c>
      <c r="B44" s="97" t="s">
        <v>175</v>
      </c>
      <c r="C44" s="96" t="s">
        <v>78</v>
      </c>
      <c r="D44" s="18" t="s">
        <v>27</v>
      </c>
      <c r="E44" s="18" t="s">
        <v>30</v>
      </c>
      <c r="F44" s="19" t="s">
        <v>95</v>
      </c>
      <c r="G44" s="16" t="s">
        <v>21</v>
      </c>
      <c r="H44" s="20">
        <f>25766.8+2985.7+948.7</f>
        <v>29701.2</v>
      </c>
      <c r="I44" s="20">
        <f>25766.8</f>
        <v>25766.8</v>
      </c>
      <c r="J44" s="20">
        <f>25766.8</f>
        <v>25766.8</v>
      </c>
      <c r="K44" s="57">
        <f t="shared" si="1"/>
        <v>81234.8</v>
      </c>
      <c r="L44" s="21" t="s">
        <v>218</v>
      </c>
      <c r="M44" s="8"/>
    </row>
    <row r="45" spans="1:13" s="9" customFormat="1" ht="215.25" customHeight="1">
      <c r="A45" s="18" t="s">
        <v>159</v>
      </c>
      <c r="B45" s="34" t="s">
        <v>39</v>
      </c>
      <c r="C45" s="96" t="s">
        <v>78</v>
      </c>
      <c r="D45" s="18" t="s">
        <v>27</v>
      </c>
      <c r="E45" s="18" t="s">
        <v>30</v>
      </c>
      <c r="F45" s="19" t="s">
        <v>97</v>
      </c>
      <c r="G45" s="16" t="s">
        <v>38</v>
      </c>
      <c r="H45" s="20">
        <f>47340.7+0.02+0.05+9365.91+109.91</f>
        <v>56816.59</v>
      </c>
      <c r="I45" s="20">
        <f>47340.7</f>
        <v>47340.7</v>
      </c>
      <c r="J45" s="20">
        <f>47340.7</f>
        <v>47340.7</v>
      </c>
      <c r="K45" s="57">
        <f t="shared" si="1"/>
        <v>151497.99</v>
      </c>
      <c r="L45" s="21" t="s">
        <v>152</v>
      </c>
      <c r="M45" s="8"/>
    </row>
    <row r="46" spans="1:13" s="9" customFormat="1" ht="89.25" customHeight="1">
      <c r="A46" s="18" t="s">
        <v>219</v>
      </c>
      <c r="B46" s="58" t="s">
        <v>79</v>
      </c>
      <c r="C46" s="96" t="s">
        <v>78</v>
      </c>
      <c r="D46" s="18" t="s">
        <v>27</v>
      </c>
      <c r="E46" s="19" t="s">
        <v>118</v>
      </c>
      <c r="F46" s="19" t="s">
        <v>48</v>
      </c>
      <c r="G46" s="16" t="s">
        <v>38</v>
      </c>
      <c r="H46" s="20">
        <v>1696.4</v>
      </c>
      <c r="I46" s="20">
        <v>1696.4</v>
      </c>
      <c r="J46" s="20">
        <v>1696.4</v>
      </c>
      <c r="K46" s="57">
        <f t="shared" si="1"/>
        <v>5089.200000000001</v>
      </c>
      <c r="L46" s="21"/>
      <c r="M46" s="8"/>
    </row>
    <row r="47" spans="1:13" s="9" customFormat="1" ht="87" customHeight="1">
      <c r="A47" s="18" t="s">
        <v>220</v>
      </c>
      <c r="B47" s="58" t="s">
        <v>221</v>
      </c>
      <c r="C47" s="96" t="s">
        <v>78</v>
      </c>
      <c r="D47" s="18" t="s">
        <v>27</v>
      </c>
      <c r="E47" s="19" t="s">
        <v>118</v>
      </c>
      <c r="F47" s="19" t="s">
        <v>149</v>
      </c>
      <c r="G47" s="16" t="s">
        <v>35</v>
      </c>
      <c r="H47" s="20">
        <f>500</f>
        <v>500</v>
      </c>
      <c r="I47" s="20">
        <f>500</f>
        <v>500</v>
      </c>
      <c r="J47" s="20">
        <f>500</f>
        <v>500</v>
      </c>
      <c r="K47" s="57">
        <f t="shared" si="1"/>
        <v>1500</v>
      </c>
      <c r="L47" s="21"/>
      <c r="M47" s="8"/>
    </row>
    <row r="48" spans="1:24" s="11" customFormat="1" ht="162.75" customHeight="1">
      <c r="A48" s="54" t="s">
        <v>222</v>
      </c>
      <c r="B48" s="98" t="s">
        <v>46</v>
      </c>
      <c r="C48" s="96" t="s">
        <v>78</v>
      </c>
      <c r="D48" s="18" t="s">
        <v>27</v>
      </c>
      <c r="E48" s="59">
        <v>702</v>
      </c>
      <c r="F48" s="43" t="s">
        <v>87</v>
      </c>
      <c r="G48" s="16" t="s">
        <v>74</v>
      </c>
      <c r="H48" s="60">
        <v>22222.2</v>
      </c>
      <c r="I48" s="60">
        <v>29988</v>
      </c>
      <c r="J48" s="60">
        <v>22222.2</v>
      </c>
      <c r="K48" s="57">
        <f t="shared" si="1"/>
        <v>74432.4</v>
      </c>
      <c r="L48" s="42" t="s">
        <v>109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12" s="10" customFormat="1" ht="254.25" customHeight="1">
      <c r="A49" s="54" t="s">
        <v>223</v>
      </c>
      <c r="B49" s="61" t="s">
        <v>224</v>
      </c>
      <c r="C49" s="96" t="s">
        <v>78</v>
      </c>
      <c r="D49" s="18" t="s">
        <v>27</v>
      </c>
      <c r="E49" s="59">
        <v>1003</v>
      </c>
      <c r="F49" s="43" t="s">
        <v>167</v>
      </c>
      <c r="G49" s="16" t="s">
        <v>38</v>
      </c>
      <c r="H49" s="60">
        <f>25609.7+289.4</f>
        <v>25899.100000000002</v>
      </c>
      <c r="I49" s="60">
        <f>24886.3</f>
        <v>24886.3</v>
      </c>
      <c r="J49" s="60">
        <f>7234.4+18230.6</f>
        <v>25465</v>
      </c>
      <c r="K49" s="57">
        <f t="shared" si="1"/>
        <v>76250.4</v>
      </c>
      <c r="L49" s="62" t="s">
        <v>150</v>
      </c>
    </row>
    <row r="50" spans="1:12" s="10" customFormat="1" ht="256.5" customHeight="1">
      <c r="A50" s="54" t="s">
        <v>225</v>
      </c>
      <c r="B50" s="61" t="s">
        <v>224</v>
      </c>
      <c r="C50" s="96" t="s">
        <v>78</v>
      </c>
      <c r="D50" s="18" t="s">
        <v>27</v>
      </c>
      <c r="E50" s="59">
        <v>1003</v>
      </c>
      <c r="F50" s="43" t="s">
        <v>167</v>
      </c>
      <c r="G50" s="16" t="s">
        <v>38</v>
      </c>
      <c r="H50" s="60">
        <f>25.6+0.4</f>
        <v>26</v>
      </c>
      <c r="I50" s="60">
        <f>25.6-0.6</f>
        <v>25</v>
      </c>
      <c r="J50" s="60">
        <f>25.6-0.1</f>
        <v>25.5</v>
      </c>
      <c r="K50" s="57">
        <f t="shared" si="1"/>
        <v>76.5</v>
      </c>
      <c r="L50" s="62" t="s">
        <v>150</v>
      </c>
    </row>
    <row r="51" spans="1:12" s="7" customFormat="1" ht="150" customHeight="1">
      <c r="A51" s="12" t="s">
        <v>226</v>
      </c>
      <c r="B51" s="39" t="s">
        <v>43</v>
      </c>
      <c r="C51" s="96" t="s">
        <v>78</v>
      </c>
      <c r="D51" s="18" t="s">
        <v>27</v>
      </c>
      <c r="E51" s="18" t="s">
        <v>30</v>
      </c>
      <c r="F51" s="16" t="s">
        <v>88</v>
      </c>
      <c r="G51" s="16" t="s">
        <v>21</v>
      </c>
      <c r="H51" s="27">
        <f>46852.47</f>
        <v>46852.47</v>
      </c>
      <c r="I51" s="27">
        <f>46852.47</f>
        <v>46852.47</v>
      </c>
      <c r="J51" s="27">
        <f>46852.47</f>
        <v>46852.47</v>
      </c>
      <c r="K51" s="57">
        <f t="shared" si="1"/>
        <v>140557.41</v>
      </c>
      <c r="L51" s="23" t="s">
        <v>33</v>
      </c>
    </row>
    <row r="52" spans="1:12" s="7" customFormat="1" ht="147" customHeight="1">
      <c r="A52" s="12" t="s">
        <v>227</v>
      </c>
      <c r="B52" s="39" t="s">
        <v>43</v>
      </c>
      <c r="C52" s="96" t="s">
        <v>78</v>
      </c>
      <c r="D52" s="18" t="s">
        <v>27</v>
      </c>
      <c r="E52" s="18" t="s">
        <v>30</v>
      </c>
      <c r="F52" s="16" t="s">
        <v>137</v>
      </c>
      <c r="G52" s="16" t="s">
        <v>21</v>
      </c>
      <c r="H52" s="27">
        <f>204.45-109.39</f>
        <v>95.05999999999999</v>
      </c>
      <c r="I52" s="27">
        <v>204.45</v>
      </c>
      <c r="J52" s="27">
        <v>204.45</v>
      </c>
      <c r="K52" s="57">
        <f t="shared" si="1"/>
        <v>503.96</v>
      </c>
      <c r="L52" s="23" t="s">
        <v>33</v>
      </c>
    </row>
    <row r="53" spans="1:12" s="7" customFormat="1" ht="108.75" customHeight="1">
      <c r="A53" s="12" t="s">
        <v>228</v>
      </c>
      <c r="B53" s="39" t="s">
        <v>199</v>
      </c>
      <c r="C53" s="96" t="s">
        <v>78</v>
      </c>
      <c r="D53" s="18" t="s">
        <v>27</v>
      </c>
      <c r="E53" s="18" t="s">
        <v>30</v>
      </c>
      <c r="F53" s="16" t="s">
        <v>123</v>
      </c>
      <c r="G53" s="16" t="s">
        <v>21</v>
      </c>
      <c r="H53" s="22">
        <v>4680.08</v>
      </c>
      <c r="I53" s="22">
        <v>0</v>
      </c>
      <c r="J53" s="22">
        <v>0</v>
      </c>
      <c r="K53" s="57">
        <f t="shared" si="1"/>
        <v>4680.08</v>
      </c>
      <c r="L53" s="23" t="s">
        <v>33</v>
      </c>
    </row>
    <row r="54" spans="1:12" s="7" customFormat="1" ht="108.75" customHeight="1">
      <c r="A54" s="12" t="s">
        <v>229</v>
      </c>
      <c r="B54" s="34" t="s">
        <v>203</v>
      </c>
      <c r="C54" s="96" t="s">
        <v>78</v>
      </c>
      <c r="D54" s="35" t="s">
        <v>27</v>
      </c>
      <c r="E54" s="36" t="s">
        <v>30</v>
      </c>
      <c r="F54" s="15" t="s">
        <v>189</v>
      </c>
      <c r="G54" s="16" t="s">
        <v>21</v>
      </c>
      <c r="H54" s="37">
        <v>351.54</v>
      </c>
      <c r="I54" s="37"/>
      <c r="J54" s="37"/>
      <c r="K54" s="38">
        <f t="shared" si="1"/>
        <v>351.54</v>
      </c>
      <c r="L54" s="21"/>
    </row>
    <row r="55" spans="1:12" s="7" customFormat="1" ht="108.75" customHeight="1">
      <c r="A55" s="12" t="s">
        <v>230</v>
      </c>
      <c r="B55" s="34" t="s">
        <v>203</v>
      </c>
      <c r="C55" s="96" t="s">
        <v>78</v>
      </c>
      <c r="D55" s="35" t="s">
        <v>27</v>
      </c>
      <c r="E55" s="36" t="s">
        <v>30</v>
      </c>
      <c r="F55" s="15" t="s">
        <v>190</v>
      </c>
      <c r="G55" s="16" t="s">
        <v>21</v>
      </c>
      <c r="H55" s="37">
        <v>195.3</v>
      </c>
      <c r="I55" s="37"/>
      <c r="J55" s="37"/>
      <c r="K55" s="38">
        <f>SUM(H55:J55)</f>
        <v>195.3</v>
      </c>
      <c r="L55" s="21"/>
    </row>
    <row r="56" spans="1:12" s="7" customFormat="1" ht="126" customHeight="1">
      <c r="A56" s="12" t="s">
        <v>231</v>
      </c>
      <c r="B56" s="40" t="s">
        <v>140</v>
      </c>
      <c r="C56" s="96" t="s">
        <v>78</v>
      </c>
      <c r="D56" s="18" t="s">
        <v>27</v>
      </c>
      <c r="E56" s="18" t="s">
        <v>30</v>
      </c>
      <c r="F56" s="16" t="s">
        <v>135</v>
      </c>
      <c r="G56" s="16" t="s">
        <v>21</v>
      </c>
      <c r="H56" s="22">
        <f>26482.7</f>
        <v>26482.7</v>
      </c>
      <c r="I56" s="22">
        <f>26482.7</f>
        <v>26482.7</v>
      </c>
      <c r="J56" s="22">
        <v>0</v>
      </c>
      <c r="K56" s="57">
        <f t="shared" si="1"/>
        <v>52965.4</v>
      </c>
      <c r="L56" s="23"/>
    </row>
    <row r="57" spans="1:12" s="3" customFormat="1" ht="97.5" customHeight="1">
      <c r="A57" s="12" t="s">
        <v>232</v>
      </c>
      <c r="B57" s="80" t="s">
        <v>115</v>
      </c>
      <c r="C57" s="96" t="s">
        <v>78</v>
      </c>
      <c r="D57" s="16"/>
      <c r="E57" s="16"/>
      <c r="F57" s="16"/>
      <c r="G57" s="16"/>
      <c r="H57" s="22">
        <f>24100+1122.84-70.05-1698.72+500-700.5</f>
        <v>23253.57</v>
      </c>
      <c r="I57" s="22">
        <v>24100</v>
      </c>
      <c r="J57" s="22">
        <v>24100</v>
      </c>
      <c r="K57" s="57">
        <f t="shared" si="1"/>
        <v>71453.57</v>
      </c>
      <c r="L57" s="23"/>
    </row>
    <row r="58" spans="1:12" s="7" customFormat="1" ht="258.75" customHeight="1">
      <c r="A58" s="12" t="s">
        <v>233</v>
      </c>
      <c r="B58" s="80" t="s">
        <v>234</v>
      </c>
      <c r="C58" s="96" t="s">
        <v>78</v>
      </c>
      <c r="D58" s="18" t="s">
        <v>27</v>
      </c>
      <c r="E58" s="43" t="s">
        <v>104</v>
      </c>
      <c r="F58" s="43" t="s">
        <v>120</v>
      </c>
      <c r="G58" s="16" t="s">
        <v>35</v>
      </c>
      <c r="H58" s="20">
        <v>600</v>
      </c>
      <c r="I58" s="20">
        <v>0</v>
      </c>
      <c r="J58" s="20">
        <v>0</v>
      </c>
      <c r="K58" s="57">
        <f t="shared" si="1"/>
        <v>600</v>
      </c>
      <c r="L58" s="21" t="s">
        <v>153</v>
      </c>
    </row>
    <row r="59" spans="1:12" s="7" customFormat="1" ht="255.75" customHeight="1">
      <c r="A59" s="12" t="s">
        <v>235</v>
      </c>
      <c r="B59" s="99" t="s">
        <v>236</v>
      </c>
      <c r="C59" s="96" t="s">
        <v>78</v>
      </c>
      <c r="D59" s="18" t="s">
        <v>27</v>
      </c>
      <c r="E59" s="43" t="s">
        <v>104</v>
      </c>
      <c r="F59" s="43" t="s">
        <v>121</v>
      </c>
      <c r="G59" s="16" t="s">
        <v>35</v>
      </c>
      <c r="H59" s="20">
        <v>6.1</v>
      </c>
      <c r="I59" s="20">
        <v>6.1</v>
      </c>
      <c r="J59" s="20">
        <v>6.1</v>
      </c>
      <c r="K59" s="57">
        <f t="shared" si="1"/>
        <v>18.299999999999997</v>
      </c>
      <c r="L59" s="21" t="s">
        <v>153</v>
      </c>
    </row>
    <row r="60" spans="1:12" s="7" customFormat="1" ht="182.25" customHeight="1">
      <c r="A60" s="12" t="s">
        <v>237</v>
      </c>
      <c r="B60" s="63" t="s">
        <v>170</v>
      </c>
      <c r="C60" s="14" t="s">
        <v>78</v>
      </c>
      <c r="D60" s="18" t="s">
        <v>27</v>
      </c>
      <c r="E60" s="43" t="s">
        <v>104</v>
      </c>
      <c r="F60" s="43" t="s">
        <v>127</v>
      </c>
      <c r="G60" s="16" t="s">
        <v>35</v>
      </c>
      <c r="H60" s="20">
        <f>1273.2-1.1</f>
        <v>1272.1000000000001</v>
      </c>
      <c r="I60" s="20">
        <f>3777.4-0.2</f>
        <v>3777.2000000000003</v>
      </c>
      <c r="J60" s="20">
        <f>78.6+0.8+1178.6+11.9</f>
        <v>1269.9</v>
      </c>
      <c r="K60" s="57">
        <f t="shared" si="1"/>
        <v>6319.200000000001</v>
      </c>
      <c r="L60" s="21"/>
    </row>
    <row r="61" spans="1:12" s="7" customFormat="1" ht="114" customHeight="1">
      <c r="A61" s="12" t="s">
        <v>238</v>
      </c>
      <c r="B61" s="99" t="s">
        <v>171</v>
      </c>
      <c r="C61" s="96" t="s">
        <v>78</v>
      </c>
      <c r="D61" s="18" t="s">
        <v>27</v>
      </c>
      <c r="E61" s="43" t="s">
        <v>104</v>
      </c>
      <c r="F61" s="43" t="s">
        <v>191</v>
      </c>
      <c r="G61" s="16" t="s">
        <v>35</v>
      </c>
      <c r="H61" s="20">
        <v>22.6</v>
      </c>
      <c r="I61" s="20">
        <v>0</v>
      </c>
      <c r="J61" s="20">
        <v>35.7</v>
      </c>
      <c r="K61" s="57">
        <f t="shared" si="1"/>
        <v>58.300000000000004</v>
      </c>
      <c r="L61" s="21"/>
    </row>
    <row r="62" spans="1:12" s="7" customFormat="1" ht="125.25" customHeight="1">
      <c r="A62" s="12" t="s">
        <v>239</v>
      </c>
      <c r="B62" s="99" t="s">
        <v>240</v>
      </c>
      <c r="C62" s="96" t="s">
        <v>78</v>
      </c>
      <c r="D62" s="18" t="s">
        <v>27</v>
      </c>
      <c r="E62" s="43" t="s">
        <v>104</v>
      </c>
      <c r="F62" s="43" t="s">
        <v>151</v>
      </c>
      <c r="G62" s="16" t="s">
        <v>35</v>
      </c>
      <c r="H62" s="20">
        <v>0</v>
      </c>
      <c r="I62" s="20">
        <v>0</v>
      </c>
      <c r="J62" s="20">
        <v>0</v>
      </c>
      <c r="K62" s="57">
        <f>SUM(H62:J62)</f>
        <v>0</v>
      </c>
      <c r="L62" s="21"/>
    </row>
    <row r="63" spans="1:12" s="7" customFormat="1" ht="117.75" customHeight="1">
      <c r="A63" s="12" t="s">
        <v>241</v>
      </c>
      <c r="B63" s="99" t="s">
        <v>184</v>
      </c>
      <c r="C63" s="96" t="s">
        <v>78</v>
      </c>
      <c r="D63" s="18" t="s">
        <v>27</v>
      </c>
      <c r="E63" s="43" t="s">
        <v>104</v>
      </c>
      <c r="F63" s="43" t="s">
        <v>168</v>
      </c>
      <c r="G63" s="16" t="s">
        <v>35</v>
      </c>
      <c r="H63" s="20">
        <v>6</v>
      </c>
      <c r="I63" s="20">
        <v>6</v>
      </c>
      <c r="J63" s="20">
        <v>6</v>
      </c>
      <c r="K63" s="57">
        <f t="shared" si="1"/>
        <v>18</v>
      </c>
      <c r="L63" s="21"/>
    </row>
    <row r="64" spans="1:12" s="7" customFormat="1" ht="147.75" customHeight="1">
      <c r="A64" s="12" t="s">
        <v>242</v>
      </c>
      <c r="B64" s="98" t="s">
        <v>243</v>
      </c>
      <c r="C64" s="96" t="s">
        <v>78</v>
      </c>
      <c r="D64" s="18" t="s">
        <v>27</v>
      </c>
      <c r="E64" s="48" t="s">
        <v>128</v>
      </c>
      <c r="F64" s="48" t="s">
        <v>129</v>
      </c>
      <c r="G64" s="16" t="s">
        <v>21</v>
      </c>
      <c r="H64" s="20">
        <v>4531.12</v>
      </c>
      <c r="I64" s="20"/>
      <c r="J64" s="20"/>
      <c r="K64" s="57">
        <f t="shared" si="1"/>
        <v>4531.12</v>
      </c>
      <c r="L64" s="21"/>
    </row>
    <row r="65" spans="1:12" s="7" customFormat="1" ht="93" customHeight="1">
      <c r="A65" s="12" t="s">
        <v>244</v>
      </c>
      <c r="B65" s="98" t="s">
        <v>245</v>
      </c>
      <c r="C65" s="96" t="s">
        <v>78</v>
      </c>
      <c r="D65" s="18" t="s">
        <v>27</v>
      </c>
      <c r="E65" s="48" t="s">
        <v>30</v>
      </c>
      <c r="F65" s="48" t="s">
        <v>181</v>
      </c>
      <c r="G65" s="16" t="s">
        <v>182</v>
      </c>
      <c r="H65" s="20">
        <v>0</v>
      </c>
      <c r="I65" s="20"/>
      <c r="J65" s="20"/>
      <c r="K65" s="57">
        <f t="shared" si="1"/>
        <v>0</v>
      </c>
      <c r="L65" s="21" t="s">
        <v>183</v>
      </c>
    </row>
    <row r="66" spans="1:12" s="7" customFormat="1" ht="162.75" customHeight="1">
      <c r="A66" s="12" t="s">
        <v>246</v>
      </c>
      <c r="B66" s="100" t="s">
        <v>192</v>
      </c>
      <c r="C66" s="96" t="s">
        <v>78</v>
      </c>
      <c r="D66" s="18" t="s">
        <v>27</v>
      </c>
      <c r="E66" s="48" t="s">
        <v>128</v>
      </c>
      <c r="F66" s="48" t="s">
        <v>186</v>
      </c>
      <c r="G66" s="16" t="s">
        <v>21</v>
      </c>
      <c r="H66" s="20">
        <f>45.79-0.02</f>
        <v>45.769999999999996</v>
      </c>
      <c r="I66" s="20">
        <v>45.79</v>
      </c>
      <c r="J66" s="20">
        <v>45.79</v>
      </c>
      <c r="K66" s="57">
        <f>SUM(H66:J66)</f>
        <v>137.35</v>
      </c>
      <c r="L66" s="21"/>
    </row>
    <row r="67" spans="1:12" ht="222.75" customHeight="1">
      <c r="A67" s="12" t="s">
        <v>247</v>
      </c>
      <c r="B67" s="68" t="s">
        <v>176</v>
      </c>
      <c r="C67" s="96" t="s">
        <v>78</v>
      </c>
      <c r="D67" s="12" t="s">
        <v>27</v>
      </c>
      <c r="E67" s="48" t="s">
        <v>103</v>
      </c>
      <c r="F67" s="48" t="s">
        <v>106</v>
      </c>
      <c r="G67" s="16" t="s">
        <v>21</v>
      </c>
      <c r="H67" s="64"/>
      <c r="I67" s="64"/>
      <c r="J67" s="64"/>
      <c r="K67" s="57">
        <f t="shared" si="1"/>
        <v>0</v>
      </c>
      <c r="L67" s="21" t="s">
        <v>153</v>
      </c>
    </row>
    <row r="68" spans="1:12" ht="147.75" customHeight="1">
      <c r="A68" s="12" t="s">
        <v>248</v>
      </c>
      <c r="B68" s="13" t="s">
        <v>176</v>
      </c>
      <c r="C68" s="96" t="s">
        <v>78</v>
      </c>
      <c r="D68" s="12" t="s">
        <v>27</v>
      </c>
      <c r="E68" s="48" t="s">
        <v>103</v>
      </c>
      <c r="F68" s="48" t="s">
        <v>193</v>
      </c>
      <c r="G68" s="16" t="s">
        <v>21</v>
      </c>
      <c r="H68" s="64">
        <v>10</v>
      </c>
      <c r="I68" s="64">
        <v>8.5</v>
      </c>
      <c r="J68" s="64">
        <v>10</v>
      </c>
      <c r="K68" s="57">
        <f t="shared" si="1"/>
        <v>28.5</v>
      </c>
      <c r="L68" s="43"/>
    </row>
    <row r="69" spans="1:13" s="9" customFormat="1" ht="28.5" customHeight="1">
      <c r="A69" s="113" t="s">
        <v>10</v>
      </c>
      <c r="B69" s="114"/>
      <c r="C69" s="65"/>
      <c r="D69" s="65"/>
      <c r="E69" s="65"/>
      <c r="F69" s="65"/>
      <c r="G69" s="66"/>
      <c r="H69" s="67">
        <f>SUM(H43:H68)</f>
        <v>477766.29999999993</v>
      </c>
      <c r="I69" s="67">
        <f>SUM(I43:I68)</f>
        <v>464186.80999999994</v>
      </c>
      <c r="J69" s="67">
        <f>SUM(J43:J68)</f>
        <v>428047.41</v>
      </c>
      <c r="K69" s="67">
        <f>SUM(K43:K68)</f>
        <v>1370000.5200000003</v>
      </c>
      <c r="L69" s="67">
        <f>SUM(L43:L59)</f>
        <v>0</v>
      </c>
      <c r="M69" s="8"/>
    </row>
    <row r="70" spans="1:13" s="9" customFormat="1" ht="39" customHeight="1">
      <c r="A70" s="115" t="s">
        <v>160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8"/>
    </row>
    <row r="71" spans="1:13" s="9" customFormat="1" ht="102.75" customHeight="1">
      <c r="A71" s="35" t="s">
        <v>11</v>
      </c>
      <c r="B71" s="68" t="s">
        <v>40</v>
      </c>
      <c r="C71" s="96" t="s">
        <v>78</v>
      </c>
      <c r="D71" s="18" t="s">
        <v>27</v>
      </c>
      <c r="E71" s="19" t="s">
        <v>99</v>
      </c>
      <c r="F71" s="19" t="s">
        <v>98</v>
      </c>
      <c r="G71" s="16" t="s">
        <v>21</v>
      </c>
      <c r="H71" s="69">
        <f>8811.54+407.51</f>
        <v>9219.050000000001</v>
      </c>
      <c r="I71" s="69">
        <f>8811.54</f>
        <v>8811.54</v>
      </c>
      <c r="J71" s="69">
        <f>8811.54</f>
        <v>8811.54</v>
      </c>
      <c r="K71" s="38">
        <f aca="true" t="shared" si="2" ref="K71:K86">SUM(H71:J71)</f>
        <v>26842.130000000005</v>
      </c>
      <c r="L71" s="70" t="s">
        <v>249</v>
      </c>
      <c r="M71" s="8"/>
    </row>
    <row r="72" spans="1:13" s="9" customFormat="1" ht="188.25" customHeight="1">
      <c r="A72" s="35" t="s">
        <v>250</v>
      </c>
      <c r="B72" s="68" t="s">
        <v>251</v>
      </c>
      <c r="C72" s="96" t="s">
        <v>78</v>
      </c>
      <c r="D72" s="18" t="s">
        <v>27</v>
      </c>
      <c r="E72" s="19" t="s">
        <v>99</v>
      </c>
      <c r="F72" s="19" t="s">
        <v>145</v>
      </c>
      <c r="G72" s="16" t="s">
        <v>21</v>
      </c>
      <c r="H72" s="69">
        <f>1734.26</f>
        <v>1734.26</v>
      </c>
      <c r="I72" s="69">
        <f>1734.26</f>
        <v>1734.26</v>
      </c>
      <c r="J72" s="69">
        <f>1734.26</f>
        <v>1734.26</v>
      </c>
      <c r="K72" s="38">
        <f t="shared" si="2"/>
        <v>5202.78</v>
      </c>
      <c r="L72" s="70" t="s">
        <v>249</v>
      </c>
      <c r="M72" s="8"/>
    </row>
    <row r="73" spans="1:13" s="9" customFormat="1" ht="133.5" customHeight="1">
      <c r="A73" s="35" t="s">
        <v>252</v>
      </c>
      <c r="B73" s="68" t="s">
        <v>169</v>
      </c>
      <c r="C73" s="96" t="s">
        <v>78</v>
      </c>
      <c r="D73" s="18" t="s">
        <v>27</v>
      </c>
      <c r="E73" s="19" t="s">
        <v>99</v>
      </c>
      <c r="F73" s="19" t="s">
        <v>146</v>
      </c>
      <c r="G73" s="16" t="s">
        <v>21</v>
      </c>
      <c r="H73" s="69">
        <f>2864.4</f>
        <v>2864.4</v>
      </c>
      <c r="I73" s="69">
        <f>2864.4</f>
        <v>2864.4</v>
      </c>
      <c r="J73" s="69">
        <f>2864.4</f>
        <v>2864.4</v>
      </c>
      <c r="K73" s="38">
        <f t="shared" si="2"/>
        <v>8593.2</v>
      </c>
      <c r="L73" s="70" t="s">
        <v>249</v>
      </c>
      <c r="M73" s="8"/>
    </row>
    <row r="74" spans="1:13" s="9" customFormat="1" ht="131.25" customHeight="1">
      <c r="A74" s="35" t="s">
        <v>253</v>
      </c>
      <c r="B74" s="68" t="s">
        <v>169</v>
      </c>
      <c r="C74" s="96" t="s">
        <v>78</v>
      </c>
      <c r="D74" s="18" t="s">
        <v>27</v>
      </c>
      <c r="E74" s="19" t="s">
        <v>99</v>
      </c>
      <c r="F74" s="19" t="s">
        <v>147</v>
      </c>
      <c r="G74" s="16" t="s">
        <v>21</v>
      </c>
      <c r="H74" s="69">
        <f>9765+1379.28</f>
        <v>11144.28</v>
      </c>
      <c r="I74" s="69">
        <f>9765</f>
        <v>9765</v>
      </c>
      <c r="J74" s="69">
        <f>9765</f>
        <v>9765</v>
      </c>
      <c r="K74" s="38">
        <f t="shared" si="2"/>
        <v>30674.28</v>
      </c>
      <c r="L74" s="70" t="s">
        <v>249</v>
      </c>
      <c r="M74" s="8"/>
    </row>
    <row r="75" spans="1:13" s="9" customFormat="1" ht="87.75" customHeight="1">
      <c r="A75" s="18" t="s">
        <v>254</v>
      </c>
      <c r="B75" s="58" t="s">
        <v>221</v>
      </c>
      <c r="C75" s="96" t="s">
        <v>78</v>
      </c>
      <c r="D75" s="18" t="s">
        <v>27</v>
      </c>
      <c r="E75" s="19" t="s">
        <v>99</v>
      </c>
      <c r="F75" s="19" t="s">
        <v>149</v>
      </c>
      <c r="G75" s="16" t="s">
        <v>35</v>
      </c>
      <c r="H75" s="69">
        <v>532.49</v>
      </c>
      <c r="I75" s="69">
        <v>0</v>
      </c>
      <c r="J75" s="69">
        <v>0</v>
      </c>
      <c r="K75" s="38">
        <f t="shared" si="2"/>
        <v>532.49</v>
      </c>
      <c r="L75" s="21"/>
      <c r="M75" s="8"/>
    </row>
    <row r="76" spans="1:13" s="9" customFormat="1" ht="80.25" customHeight="1">
      <c r="A76" s="12" t="s">
        <v>255</v>
      </c>
      <c r="B76" s="29" t="s">
        <v>199</v>
      </c>
      <c r="C76" s="96" t="s">
        <v>78</v>
      </c>
      <c r="D76" s="12" t="s">
        <v>27</v>
      </c>
      <c r="E76" s="12" t="s">
        <v>124</v>
      </c>
      <c r="F76" s="15" t="s">
        <v>122</v>
      </c>
      <c r="G76" s="32" t="s">
        <v>21</v>
      </c>
      <c r="H76" s="27">
        <f>1215.7</f>
        <v>1215.7</v>
      </c>
      <c r="I76" s="27"/>
      <c r="J76" s="27"/>
      <c r="K76" s="28">
        <f t="shared" si="2"/>
        <v>1215.7</v>
      </c>
      <c r="L76" s="16"/>
      <c r="M76" s="8"/>
    </row>
    <row r="77" spans="1:13" s="9" customFormat="1" ht="101.25" customHeight="1">
      <c r="A77" s="35" t="s">
        <v>256</v>
      </c>
      <c r="B77" s="68" t="s">
        <v>40</v>
      </c>
      <c r="C77" s="96" t="s">
        <v>78</v>
      </c>
      <c r="D77" s="18" t="s">
        <v>27</v>
      </c>
      <c r="E77" s="19" t="s">
        <v>69</v>
      </c>
      <c r="F77" s="19" t="s">
        <v>125</v>
      </c>
      <c r="G77" s="16" t="s">
        <v>21</v>
      </c>
      <c r="H77" s="69">
        <f>8681.89-1512.59</f>
        <v>7169.299999999999</v>
      </c>
      <c r="I77" s="69">
        <f>8681.88</f>
        <v>8681.88</v>
      </c>
      <c r="J77" s="69">
        <f>8681.88</f>
        <v>8681.88</v>
      </c>
      <c r="K77" s="38">
        <f t="shared" si="2"/>
        <v>24533.059999999998</v>
      </c>
      <c r="L77" s="70" t="s">
        <v>77</v>
      </c>
      <c r="M77" s="8"/>
    </row>
    <row r="78" spans="1:13" s="9" customFormat="1" ht="101.25" customHeight="1">
      <c r="A78" s="35" t="s">
        <v>257</v>
      </c>
      <c r="B78" s="71" t="s">
        <v>40</v>
      </c>
      <c r="C78" s="96" t="s">
        <v>78</v>
      </c>
      <c r="D78" s="18" t="s">
        <v>27</v>
      </c>
      <c r="E78" s="19" t="s">
        <v>69</v>
      </c>
      <c r="F78" s="19" t="s">
        <v>126</v>
      </c>
      <c r="G78" s="16" t="s">
        <v>21</v>
      </c>
      <c r="H78" s="69">
        <f>260.4</f>
        <v>260.4</v>
      </c>
      <c r="I78" s="69">
        <f>260.4</f>
        <v>260.4</v>
      </c>
      <c r="J78" s="69">
        <f>260.4</f>
        <v>260.4</v>
      </c>
      <c r="K78" s="38">
        <f t="shared" si="2"/>
        <v>781.1999999999999</v>
      </c>
      <c r="L78" s="72" t="s">
        <v>77</v>
      </c>
      <c r="M78" s="8"/>
    </row>
    <row r="79" spans="1:12" ht="153" customHeight="1">
      <c r="A79" s="35" t="s">
        <v>258</v>
      </c>
      <c r="B79" s="39" t="s">
        <v>43</v>
      </c>
      <c r="C79" s="96" t="s">
        <v>78</v>
      </c>
      <c r="D79" s="35" t="s">
        <v>27</v>
      </c>
      <c r="E79" s="36" t="s">
        <v>70</v>
      </c>
      <c r="F79" s="16" t="s">
        <v>89</v>
      </c>
      <c r="G79" s="16" t="s">
        <v>21</v>
      </c>
      <c r="H79" s="27">
        <f>7859.05-3.1</f>
        <v>7855.95</v>
      </c>
      <c r="I79" s="27">
        <f>7859.05-3.1</f>
        <v>7855.95</v>
      </c>
      <c r="J79" s="27">
        <f>7859.05-3.1</f>
        <v>7855.95</v>
      </c>
      <c r="K79" s="38">
        <f t="shared" si="2"/>
        <v>23567.85</v>
      </c>
      <c r="L79" s="23" t="s">
        <v>34</v>
      </c>
    </row>
    <row r="80" spans="1:12" ht="216" customHeight="1">
      <c r="A80" s="35" t="s">
        <v>259</v>
      </c>
      <c r="B80" s="39" t="s">
        <v>260</v>
      </c>
      <c r="C80" s="96" t="s">
        <v>78</v>
      </c>
      <c r="D80" s="35" t="s">
        <v>27</v>
      </c>
      <c r="E80" s="36" t="s">
        <v>70</v>
      </c>
      <c r="F80" s="16" t="s">
        <v>148</v>
      </c>
      <c r="G80" s="16" t="s">
        <v>21</v>
      </c>
      <c r="H80" s="27">
        <v>4362.56</v>
      </c>
      <c r="I80" s="27">
        <v>4362.56</v>
      </c>
      <c r="J80" s="27">
        <v>4362.56</v>
      </c>
      <c r="K80" s="38">
        <f t="shared" si="2"/>
        <v>13087.68</v>
      </c>
      <c r="L80" s="23" t="s">
        <v>34</v>
      </c>
    </row>
    <row r="81" spans="1:12" ht="144.75" customHeight="1">
      <c r="A81" s="35" t="s">
        <v>261</v>
      </c>
      <c r="B81" s="39" t="s">
        <v>43</v>
      </c>
      <c r="C81" s="96" t="s">
        <v>78</v>
      </c>
      <c r="D81" s="35" t="s">
        <v>27</v>
      </c>
      <c r="E81" s="36" t="s">
        <v>70</v>
      </c>
      <c r="F81" s="16" t="s">
        <v>138</v>
      </c>
      <c r="G81" s="16" t="s">
        <v>21</v>
      </c>
      <c r="H81" s="27">
        <v>91.14</v>
      </c>
      <c r="I81" s="27">
        <v>91.14</v>
      </c>
      <c r="J81" s="27">
        <v>91.14</v>
      </c>
      <c r="K81" s="38">
        <f t="shared" si="2"/>
        <v>273.42</v>
      </c>
      <c r="L81" s="23" t="s">
        <v>34</v>
      </c>
    </row>
    <row r="82" spans="1:12" s="8" customFormat="1" ht="99.75" customHeight="1">
      <c r="A82" s="35" t="s">
        <v>262</v>
      </c>
      <c r="B82" s="21" t="s">
        <v>47</v>
      </c>
      <c r="C82" s="96" t="s">
        <v>78</v>
      </c>
      <c r="D82" s="35" t="s">
        <v>27</v>
      </c>
      <c r="E82" s="36" t="s">
        <v>71</v>
      </c>
      <c r="F82" s="16" t="s">
        <v>90</v>
      </c>
      <c r="G82" s="16" t="s">
        <v>21</v>
      </c>
      <c r="H82" s="37">
        <v>64.48</v>
      </c>
      <c r="I82" s="37">
        <v>64.48</v>
      </c>
      <c r="J82" s="37">
        <v>64.48</v>
      </c>
      <c r="K82" s="38">
        <f t="shared" si="2"/>
        <v>193.44</v>
      </c>
      <c r="L82" s="21" t="s">
        <v>26</v>
      </c>
    </row>
    <row r="83" spans="1:12" ht="117" customHeight="1">
      <c r="A83" s="35" t="s">
        <v>263</v>
      </c>
      <c r="B83" s="34" t="s">
        <v>75</v>
      </c>
      <c r="C83" s="96" t="s">
        <v>78</v>
      </c>
      <c r="D83" s="35" t="s">
        <v>27</v>
      </c>
      <c r="E83" s="36" t="s">
        <v>71</v>
      </c>
      <c r="F83" s="15" t="s">
        <v>130</v>
      </c>
      <c r="G83" s="16" t="s">
        <v>21</v>
      </c>
      <c r="H83" s="37">
        <f>555.9</f>
        <v>555.9</v>
      </c>
      <c r="I83" s="37">
        <v>0</v>
      </c>
      <c r="J83" s="37">
        <v>0</v>
      </c>
      <c r="K83" s="38">
        <f t="shared" si="2"/>
        <v>555.9</v>
      </c>
      <c r="L83" s="21" t="s">
        <v>81</v>
      </c>
    </row>
    <row r="84" spans="1:12" ht="113.25" customHeight="1">
      <c r="A84" s="35" t="s">
        <v>264</v>
      </c>
      <c r="B84" s="34" t="s">
        <v>203</v>
      </c>
      <c r="C84" s="96" t="s">
        <v>78</v>
      </c>
      <c r="D84" s="35" t="s">
        <v>27</v>
      </c>
      <c r="E84" s="36" t="s">
        <v>188</v>
      </c>
      <c r="F84" s="15" t="s">
        <v>189</v>
      </c>
      <c r="G84" s="16" t="s">
        <v>21</v>
      </c>
      <c r="H84" s="37">
        <f>522.14</f>
        <v>522.14</v>
      </c>
      <c r="I84" s="37"/>
      <c r="J84" s="37"/>
      <c r="K84" s="38">
        <f t="shared" si="2"/>
        <v>522.14</v>
      </c>
      <c r="L84" s="21"/>
    </row>
    <row r="85" spans="1:12" ht="117" customHeight="1">
      <c r="A85" s="35" t="s">
        <v>265</v>
      </c>
      <c r="B85" s="34" t="s">
        <v>203</v>
      </c>
      <c r="C85" s="96" t="s">
        <v>78</v>
      </c>
      <c r="D85" s="35" t="s">
        <v>27</v>
      </c>
      <c r="E85" s="36" t="s">
        <v>188</v>
      </c>
      <c r="F85" s="15" t="s">
        <v>190</v>
      </c>
      <c r="G85" s="16" t="s">
        <v>21</v>
      </c>
      <c r="H85" s="37">
        <v>195.3</v>
      </c>
      <c r="I85" s="37"/>
      <c r="J85" s="37"/>
      <c r="K85" s="38">
        <f>SUM(H85:J85)</f>
        <v>195.3</v>
      </c>
      <c r="L85" s="21"/>
    </row>
    <row r="86" spans="1:13" ht="86.25" customHeight="1">
      <c r="A86" s="35" t="s">
        <v>266</v>
      </c>
      <c r="B86" s="21" t="s">
        <v>116</v>
      </c>
      <c r="C86" s="96" t="s">
        <v>78</v>
      </c>
      <c r="D86" s="35" t="s">
        <v>27</v>
      </c>
      <c r="E86" s="35"/>
      <c r="F86" s="73"/>
      <c r="G86" s="74"/>
      <c r="H86" s="37">
        <f>5400+1167.04-52.53</f>
        <v>6514.51</v>
      </c>
      <c r="I86" s="37">
        <v>5400</v>
      </c>
      <c r="J86" s="37">
        <v>5400</v>
      </c>
      <c r="K86" s="38">
        <f t="shared" si="2"/>
        <v>17314.510000000002</v>
      </c>
      <c r="L86" s="21"/>
      <c r="M86" s="6"/>
    </row>
    <row r="87" spans="1:12" s="8" customFormat="1" ht="36.75" customHeight="1">
      <c r="A87" s="75"/>
      <c r="B87" s="76" t="s">
        <v>15</v>
      </c>
      <c r="C87" s="76"/>
      <c r="D87" s="77"/>
      <c r="E87" s="77"/>
      <c r="F87" s="77"/>
      <c r="G87" s="77"/>
      <c r="H87" s="78">
        <f>SUM(H71:H86)</f>
        <v>54301.86000000001</v>
      </c>
      <c r="I87" s="78">
        <f>SUM(I71:I86)</f>
        <v>49891.61</v>
      </c>
      <c r="J87" s="78">
        <f>SUM(J71:J86)</f>
        <v>49891.61</v>
      </c>
      <c r="K87" s="78">
        <f>SUM(K71:K86)</f>
        <v>154085.08000000002</v>
      </c>
      <c r="L87" s="76"/>
    </row>
    <row r="88" spans="1:12" s="8" customFormat="1" ht="37.5" customHeight="1">
      <c r="A88" s="101" t="s">
        <v>161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3"/>
    </row>
    <row r="89" spans="1:12" s="8" customFormat="1" ht="105.75" customHeight="1">
      <c r="A89" s="35" t="s">
        <v>19</v>
      </c>
      <c r="B89" s="42" t="s">
        <v>133</v>
      </c>
      <c r="C89" s="96" t="s">
        <v>78</v>
      </c>
      <c r="D89" s="18" t="s">
        <v>27</v>
      </c>
      <c r="E89" s="19" t="s">
        <v>132</v>
      </c>
      <c r="F89" s="43" t="s">
        <v>91</v>
      </c>
      <c r="G89" s="16" t="s">
        <v>21</v>
      </c>
      <c r="H89" s="17">
        <v>1200</v>
      </c>
      <c r="I89" s="17">
        <v>1200</v>
      </c>
      <c r="J89" s="17">
        <v>1200</v>
      </c>
      <c r="K89" s="79">
        <f aca="true" t="shared" si="3" ref="K89:K96">SUM(H89:J89)</f>
        <v>3600</v>
      </c>
      <c r="L89" s="80" t="s">
        <v>267</v>
      </c>
    </row>
    <row r="90" spans="1:12" s="8" customFormat="1" ht="98.25" customHeight="1">
      <c r="A90" s="35" t="s">
        <v>162</v>
      </c>
      <c r="B90" s="42" t="s">
        <v>73</v>
      </c>
      <c r="C90" s="96" t="s">
        <v>78</v>
      </c>
      <c r="D90" s="18" t="s">
        <v>27</v>
      </c>
      <c r="E90" s="19" t="s">
        <v>105</v>
      </c>
      <c r="F90" s="43" t="s">
        <v>92</v>
      </c>
      <c r="G90" s="16" t="s">
        <v>21</v>
      </c>
      <c r="H90" s="27">
        <f>400</f>
        <v>400</v>
      </c>
      <c r="I90" s="27">
        <f>400</f>
        <v>400</v>
      </c>
      <c r="J90" s="27">
        <f>400</f>
        <v>400</v>
      </c>
      <c r="K90" s="79">
        <f t="shared" si="3"/>
        <v>1200</v>
      </c>
      <c r="L90" s="80" t="s">
        <v>117</v>
      </c>
    </row>
    <row r="91" spans="1:12" s="8" customFormat="1" ht="129.75" customHeight="1">
      <c r="A91" s="35" t="s">
        <v>268</v>
      </c>
      <c r="B91" s="43" t="s">
        <v>144</v>
      </c>
      <c r="C91" s="96" t="s">
        <v>78</v>
      </c>
      <c r="D91" s="18" t="s">
        <v>27</v>
      </c>
      <c r="E91" s="18" t="s">
        <v>30</v>
      </c>
      <c r="F91" s="43" t="s">
        <v>142</v>
      </c>
      <c r="G91" s="16" t="s">
        <v>21</v>
      </c>
      <c r="H91" s="81">
        <v>5145.58</v>
      </c>
      <c r="I91" s="81">
        <v>0</v>
      </c>
      <c r="J91" s="81">
        <v>0</v>
      </c>
      <c r="K91" s="79">
        <f>SUM(H91:J91)</f>
        <v>5145.58</v>
      </c>
      <c r="L91" s="80" t="s">
        <v>143</v>
      </c>
    </row>
    <row r="92" spans="1:12" s="8" customFormat="1" ht="146.25" customHeight="1">
      <c r="A92" s="35" t="s">
        <v>269</v>
      </c>
      <c r="B92" s="42" t="s">
        <v>141</v>
      </c>
      <c r="C92" s="96" t="s">
        <v>78</v>
      </c>
      <c r="D92" s="18" t="s">
        <v>27</v>
      </c>
      <c r="E92" s="18" t="s">
        <v>30</v>
      </c>
      <c r="F92" s="43" t="s">
        <v>139</v>
      </c>
      <c r="G92" s="16" t="s">
        <v>21</v>
      </c>
      <c r="H92" s="81">
        <f>52.5-0.52</f>
        <v>51.98</v>
      </c>
      <c r="I92" s="81">
        <f>52.5</f>
        <v>52.5</v>
      </c>
      <c r="J92" s="81">
        <f>52.5</f>
        <v>52.5</v>
      </c>
      <c r="K92" s="79">
        <f>SUM(H92:J92)</f>
        <v>156.98</v>
      </c>
      <c r="L92" s="80" t="s">
        <v>143</v>
      </c>
    </row>
    <row r="93" spans="1:12" s="8" customFormat="1" ht="147.75" customHeight="1">
      <c r="A93" s="35" t="s">
        <v>270</v>
      </c>
      <c r="B93" s="58" t="s">
        <v>180</v>
      </c>
      <c r="C93" s="96" t="s">
        <v>78</v>
      </c>
      <c r="D93" s="18" t="s">
        <v>27</v>
      </c>
      <c r="E93" s="19" t="s">
        <v>178</v>
      </c>
      <c r="F93" s="43" t="s">
        <v>134</v>
      </c>
      <c r="G93" s="16" t="s">
        <v>21</v>
      </c>
      <c r="H93" s="81">
        <v>0</v>
      </c>
      <c r="I93" s="81">
        <v>0</v>
      </c>
      <c r="J93" s="81">
        <v>0</v>
      </c>
      <c r="K93" s="79">
        <f t="shared" si="3"/>
        <v>0</v>
      </c>
      <c r="L93" s="80" t="s">
        <v>110</v>
      </c>
    </row>
    <row r="94" spans="1:12" s="8" customFormat="1" ht="146.25" customHeight="1">
      <c r="A94" s="35" t="s">
        <v>271</v>
      </c>
      <c r="B94" s="58" t="s">
        <v>272</v>
      </c>
      <c r="C94" s="96" t="s">
        <v>78</v>
      </c>
      <c r="D94" s="18" t="s">
        <v>27</v>
      </c>
      <c r="E94" s="19" t="s">
        <v>179</v>
      </c>
      <c r="F94" s="43" t="s">
        <v>80</v>
      </c>
      <c r="G94" s="16" t="s">
        <v>21</v>
      </c>
      <c r="H94" s="81">
        <f>83.4+0.71</f>
        <v>84.11</v>
      </c>
      <c r="I94" s="81">
        <f>83.4+0.81</f>
        <v>84.21000000000001</v>
      </c>
      <c r="J94" s="81">
        <f>83.4-11.79</f>
        <v>71.61000000000001</v>
      </c>
      <c r="K94" s="79">
        <f t="shared" si="3"/>
        <v>239.93</v>
      </c>
      <c r="L94" s="80" t="s">
        <v>110</v>
      </c>
    </row>
    <row r="95" spans="1:12" ht="132.75" customHeight="1">
      <c r="A95" s="35" t="s">
        <v>273</v>
      </c>
      <c r="B95" s="42" t="s">
        <v>131</v>
      </c>
      <c r="C95" s="96" t="s">
        <v>78</v>
      </c>
      <c r="D95" s="18" t="s">
        <v>27</v>
      </c>
      <c r="E95" s="18" t="s">
        <v>30</v>
      </c>
      <c r="F95" s="43" t="s">
        <v>93</v>
      </c>
      <c r="G95" s="16" t="s">
        <v>21</v>
      </c>
      <c r="H95" s="17">
        <f>2187.5+312.5</f>
        <v>2500</v>
      </c>
      <c r="I95" s="17">
        <f>2500</f>
        <v>2500</v>
      </c>
      <c r="J95" s="17">
        <f>2500</f>
        <v>2500</v>
      </c>
      <c r="K95" s="79">
        <f t="shared" si="3"/>
        <v>7500</v>
      </c>
      <c r="L95" s="42" t="s">
        <v>36</v>
      </c>
    </row>
    <row r="96" spans="1:13" ht="129.75" customHeight="1">
      <c r="A96" s="35" t="s">
        <v>274</v>
      </c>
      <c r="B96" s="42" t="s">
        <v>177</v>
      </c>
      <c r="C96" s="96" t="s">
        <v>78</v>
      </c>
      <c r="D96" s="18" t="s">
        <v>27</v>
      </c>
      <c r="E96" s="18" t="s">
        <v>30</v>
      </c>
      <c r="F96" s="43" t="s">
        <v>102</v>
      </c>
      <c r="G96" s="16" t="s">
        <v>21</v>
      </c>
      <c r="H96" s="17">
        <f>25.3-0.05</f>
        <v>25.25</v>
      </c>
      <c r="I96" s="17">
        <v>25.3</v>
      </c>
      <c r="J96" s="17">
        <v>25.3</v>
      </c>
      <c r="K96" s="79">
        <f t="shared" si="3"/>
        <v>75.85</v>
      </c>
      <c r="L96" s="42" t="s">
        <v>36</v>
      </c>
      <c r="M96" s="6"/>
    </row>
    <row r="97" spans="1:13" ht="129.75" customHeight="1">
      <c r="A97" s="35" t="s">
        <v>275</v>
      </c>
      <c r="B97" s="42" t="s">
        <v>195</v>
      </c>
      <c r="C97" s="96" t="s">
        <v>78</v>
      </c>
      <c r="D97" s="18" t="s">
        <v>27</v>
      </c>
      <c r="E97" s="18" t="s">
        <v>30</v>
      </c>
      <c r="F97" s="43" t="s">
        <v>194</v>
      </c>
      <c r="G97" s="16" t="s">
        <v>21</v>
      </c>
      <c r="H97" s="17">
        <v>157.9</v>
      </c>
      <c r="I97" s="17">
        <v>0</v>
      </c>
      <c r="J97" s="17">
        <v>0</v>
      </c>
      <c r="K97" s="79">
        <f>SUM(H97:J97)</f>
        <v>157.9</v>
      </c>
      <c r="L97" s="42" t="s">
        <v>276</v>
      </c>
      <c r="M97" s="6"/>
    </row>
    <row r="98" spans="1:12" ht="21.75" customHeight="1">
      <c r="A98" s="76"/>
      <c r="B98" s="76" t="s">
        <v>22</v>
      </c>
      <c r="C98" s="76"/>
      <c r="D98" s="76"/>
      <c r="E98" s="76"/>
      <c r="F98" s="76"/>
      <c r="G98" s="76"/>
      <c r="H98" s="82">
        <f>SUM(H89:H97)</f>
        <v>9564.819999999998</v>
      </c>
      <c r="I98" s="82">
        <f>SUM(I89:I97)</f>
        <v>4262.01</v>
      </c>
      <c r="J98" s="82">
        <f>SUM(J89:J97)</f>
        <v>4249.410000000001</v>
      </c>
      <c r="K98" s="82">
        <f>SUM(K89:K97)</f>
        <v>18076.239999999998</v>
      </c>
      <c r="L98" s="82">
        <f>SUM(L89:L96)</f>
        <v>0</v>
      </c>
    </row>
    <row r="99" spans="1:12" ht="57.75" customHeight="1">
      <c r="A99" s="101" t="s">
        <v>163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3"/>
    </row>
    <row r="100" spans="1:12" s="8" customFormat="1" ht="98.25" customHeight="1">
      <c r="A100" s="83" t="s">
        <v>66</v>
      </c>
      <c r="B100" s="80" t="s">
        <v>133</v>
      </c>
      <c r="C100" s="96" t="s">
        <v>78</v>
      </c>
      <c r="D100" s="18" t="s">
        <v>27</v>
      </c>
      <c r="E100" s="18" t="s">
        <v>30</v>
      </c>
      <c r="F100" s="84" t="s">
        <v>76</v>
      </c>
      <c r="G100" s="16" t="s">
        <v>21</v>
      </c>
      <c r="H100" s="44"/>
      <c r="I100" s="44"/>
      <c r="J100" s="44"/>
      <c r="K100" s="45">
        <f>SUM(H100:J100)</f>
        <v>0</v>
      </c>
      <c r="L100" s="85" t="s">
        <v>68</v>
      </c>
    </row>
    <row r="101" spans="1:12" ht="26.25" customHeight="1">
      <c r="A101" s="76"/>
      <c r="B101" s="76" t="s">
        <v>31</v>
      </c>
      <c r="C101" s="76"/>
      <c r="D101" s="76"/>
      <c r="E101" s="76"/>
      <c r="F101" s="76"/>
      <c r="G101" s="76"/>
      <c r="H101" s="82">
        <f>SUM(H100:H100)</f>
        <v>0</v>
      </c>
      <c r="I101" s="82">
        <f>SUM(I100:I100)</f>
        <v>0</v>
      </c>
      <c r="J101" s="82">
        <f>SUM(J100:J100)</f>
        <v>0</v>
      </c>
      <c r="K101" s="82">
        <f>SUM(K100:K100)</f>
        <v>0</v>
      </c>
      <c r="L101" s="76"/>
    </row>
    <row r="102" spans="1:12" ht="37.5" customHeight="1">
      <c r="A102" s="101" t="s">
        <v>164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3"/>
    </row>
    <row r="103" spans="1:12" ht="94.5">
      <c r="A103" s="86" t="s">
        <v>67</v>
      </c>
      <c r="B103" s="42" t="s">
        <v>133</v>
      </c>
      <c r="C103" s="96" t="s">
        <v>78</v>
      </c>
      <c r="D103" s="35" t="s">
        <v>27</v>
      </c>
      <c r="E103" s="35" t="s">
        <v>30</v>
      </c>
      <c r="F103" s="54" t="s">
        <v>25</v>
      </c>
      <c r="G103" s="16" t="s">
        <v>21</v>
      </c>
      <c r="H103" s="27">
        <v>0</v>
      </c>
      <c r="I103" s="27">
        <v>0</v>
      </c>
      <c r="J103" s="27"/>
      <c r="K103" s="28">
        <f>SUM(H103:J103)</f>
        <v>0</v>
      </c>
      <c r="L103" s="85" t="s">
        <v>23</v>
      </c>
    </row>
    <row r="104" spans="1:12" ht="59.25" customHeight="1">
      <c r="A104" s="87" t="s">
        <v>165</v>
      </c>
      <c r="B104" s="80" t="s">
        <v>277</v>
      </c>
      <c r="C104" s="96" t="s">
        <v>78</v>
      </c>
      <c r="D104" s="35" t="s">
        <v>27</v>
      </c>
      <c r="E104" s="87"/>
      <c r="F104" s="87"/>
      <c r="G104" s="87" t="s">
        <v>0</v>
      </c>
      <c r="H104" s="88"/>
      <c r="I104" s="88"/>
      <c r="J104" s="88"/>
      <c r="K104" s="28">
        <f>SUM(H104:J104)</f>
        <v>0</v>
      </c>
      <c r="L104" s="80" t="s">
        <v>278</v>
      </c>
    </row>
    <row r="105" spans="1:12" ht="31.5" customHeight="1">
      <c r="A105" s="66"/>
      <c r="B105" s="89" t="s">
        <v>24</v>
      </c>
      <c r="C105" s="89"/>
      <c r="D105" s="66"/>
      <c r="E105" s="66"/>
      <c r="F105" s="66"/>
      <c r="G105" s="66"/>
      <c r="H105" s="67">
        <f>SUM(H103:H104)</f>
        <v>0</v>
      </c>
      <c r="I105" s="67">
        <f>SUM(I103:I104)</f>
        <v>0</v>
      </c>
      <c r="J105" s="67">
        <f>SUM(J103:J104)</f>
        <v>0</v>
      </c>
      <c r="K105" s="67">
        <f>SUM(K103:K104)</f>
        <v>0</v>
      </c>
      <c r="L105" s="66"/>
    </row>
    <row r="106" spans="1:12" ht="15.75">
      <c r="A106" s="90"/>
      <c r="B106" s="66" t="s">
        <v>16</v>
      </c>
      <c r="C106" s="66"/>
      <c r="D106" s="66"/>
      <c r="E106" s="66"/>
      <c r="F106" s="66"/>
      <c r="G106" s="66"/>
      <c r="H106" s="67">
        <f>H33+H37+H41+H69+H87+H98+H101+H105</f>
        <v>975546.6799999999</v>
      </c>
      <c r="I106" s="67">
        <f>I33+I37+I41+I69+I87+I98+I101+I105</f>
        <v>939511.3899999999</v>
      </c>
      <c r="J106" s="67">
        <f>J33+J37+J41+J69+J87+J98+J101+J105</f>
        <v>903359.3899999999</v>
      </c>
      <c r="K106" s="67">
        <f>K33+K37+K41+K69+K87+K98+K101+K105</f>
        <v>2818417.460000001</v>
      </c>
      <c r="L106" s="66"/>
    </row>
    <row r="107" spans="1:12" ht="15.75" hidden="1">
      <c r="A107" s="91"/>
      <c r="B107" s="91" t="s">
        <v>119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5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1:12" ht="15.75">
      <c r="A109" s="92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ht="15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1:12" ht="15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</sheetData>
  <sheetProtection/>
  <mergeCells count="32">
    <mergeCell ref="F2:L2"/>
    <mergeCell ref="A1:L1"/>
    <mergeCell ref="A10:L10"/>
    <mergeCell ref="A6:L6"/>
    <mergeCell ref="A7:L7"/>
    <mergeCell ref="A8:L8"/>
    <mergeCell ref="D15:G15"/>
    <mergeCell ref="K9:L9"/>
    <mergeCell ref="A13:L13"/>
    <mergeCell ref="A3:L3"/>
    <mergeCell ref="A4:L4"/>
    <mergeCell ref="A5:L5"/>
    <mergeCell ref="A18:L18"/>
    <mergeCell ref="A11:L11"/>
    <mergeCell ref="A12:L12"/>
    <mergeCell ref="A14:L14"/>
    <mergeCell ref="K15:K16"/>
    <mergeCell ref="H15:J15"/>
    <mergeCell ref="A17:L17"/>
    <mergeCell ref="B15:B16"/>
    <mergeCell ref="L15:L16"/>
    <mergeCell ref="A15:A16"/>
    <mergeCell ref="A102:L102"/>
    <mergeCell ref="B109:L109"/>
    <mergeCell ref="A33:C33"/>
    <mergeCell ref="A38:L38"/>
    <mergeCell ref="A42:L42"/>
    <mergeCell ref="A69:B69"/>
    <mergeCell ref="A70:L70"/>
    <mergeCell ref="A88:L88"/>
    <mergeCell ref="A99:L99"/>
    <mergeCell ref="A34:L34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portrait" paperSize="9" scale="52" r:id="rId1"/>
  <rowBreaks count="1" manualBreakCount="1">
    <brk id="42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2022-05-11T06:53:42Z</cp:lastPrinted>
  <dcterms:created xsi:type="dcterms:W3CDTF">2010-09-05T13:57:35Z</dcterms:created>
  <dcterms:modified xsi:type="dcterms:W3CDTF">2022-05-11T06:53:44Z</dcterms:modified>
  <cp:category/>
  <cp:version/>
  <cp:contentType/>
  <cp:contentStatus/>
</cp:coreProperties>
</file>