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840" windowHeight="9045" tabRatio="471" activeTab="3"/>
  </bookViews>
  <sheets>
    <sheet name="МУНИЦ ЗАДАНИЕ" sheetId="28" r:id="rId1"/>
    <sheet name="ДЛЯ ФИН УПР" sheetId="17" state="hidden" r:id="rId2"/>
    <sheet name="ПЛАТНЫЕ" sheetId="31" r:id="rId3"/>
    <sheet name="ИНЫЕ" sheetId="30" r:id="rId4"/>
  </sheets>
  <definedNames>
    <definedName name="_xlnm._FilterDatabase" localSheetId="0" hidden="1">'МУНИЦ ЗАДАНИЕ'!$A$39:$DE$39</definedName>
    <definedName name="_xlnm.Print_Area" localSheetId="3">ИНЫЕ!$A$1:$AK$11</definedName>
    <definedName name="_xlnm.Print_Area" localSheetId="0">'МУНИЦ ЗАДАНИЕ'!$A$1:$BM$187</definedName>
  </definedNames>
  <calcPr calcId="125725"/>
</workbook>
</file>

<file path=xl/calcChain.xml><?xml version="1.0" encoding="utf-8"?>
<calcChain xmlns="http://schemas.openxmlformats.org/spreadsheetml/2006/main">
  <c r="BA60" i="31"/>
  <c r="BA58"/>
  <c r="BA68"/>
  <c r="BA59"/>
  <c r="BA51"/>
  <c r="AX12"/>
  <c r="BA67" l="1"/>
  <c r="BA70" s="1"/>
  <c r="BA81"/>
  <c r="BA62"/>
  <c r="BA79" s="1"/>
  <c r="AO62"/>
  <c r="AG62"/>
  <c r="AV60"/>
  <c r="AT60"/>
  <c r="AT61" s="1"/>
  <c r="AW59"/>
  <c r="AX59" s="1"/>
  <c r="AR59"/>
  <c r="AV58"/>
  <c r="AS58"/>
  <c r="AW58" s="1"/>
  <c r="AQ58"/>
  <c r="AR58" s="1"/>
  <c r="AX58" s="1"/>
  <c r="AP58"/>
  <c r="AX57"/>
  <c r="AW57"/>
  <c r="AR57"/>
  <c r="AX56"/>
  <c r="AW56"/>
  <c r="AR56"/>
  <c r="AV55"/>
  <c r="AU55"/>
  <c r="AT55"/>
  <c r="AS55"/>
  <c r="AW55" s="1"/>
  <c r="AQ55"/>
  <c r="AP55"/>
  <c r="AR55" s="1"/>
  <c r="AX55" s="1"/>
  <c r="AX54"/>
  <c r="AW54"/>
  <c r="AR54"/>
  <c r="AW53"/>
  <c r="AU53"/>
  <c r="AT53"/>
  <c r="AR53"/>
  <c r="AX53" s="1"/>
  <c r="AW52"/>
  <c r="AV52"/>
  <c r="AU52"/>
  <c r="AT52"/>
  <c r="AS52"/>
  <c r="AQ52"/>
  <c r="AQ51" s="1"/>
  <c r="AQ60" s="1"/>
  <c r="AQ61" s="1"/>
  <c r="AP52"/>
  <c r="AP51" s="1"/>
  <c r="AP60" s="1"/>
  <c r="AP61" s="1"/>
  <c r="AV51"/>
  <c r="AU51"/>
  <c r="AU60" s="1"/>
  <c r="AT51"/>
  <c r="AS51"/>
  <c r="AS60" s="1"/>
  <c r="AN51"/>
  <c r="AM51"/>
  <c r="AL51"/>
  <c r="AK51"/>
  <c r="AV50"/>
  <c r="AV61" s="1"/>
  <c r="AV62" s="1"/>
  <c r="AT50"/>
  <c r="AT62" s="1"/>
  <c r="AM50"/>
  <c r="AK50"/>
  <c r="AJ50"/>
  <c r="AJ62" s="1"/>
  <c r="AI50"/>
  <c r="AI62" s="1"/>
  <c r="AH50"/>
  <c r="AX49"/>
  <c r="AW49"/>
  <c r="AW48"/>
  <c r="AX48" s="1"/>
  <c r="AS48"/>
  <c r="AX47"/>
  <c r="AW47"/>
  <c r="AX46"/>
  <c r="AW46"/>
  <c r="AW45"/>
  <c r="AX45" s="1"/>
  <c r="AV44"/>
  <c r="AU44"/>
  <c r="AU50" s="1"/>
  <c r="AT44"/>
  <c r="AS44"/>
  <c r="AS50" s="1"/>
  <c r="AW50" s="1"/>
  <c r="AX50" s="1"/>
  <c r="AW43"/>
  <c r="AX43" s="1"/>
  <c r="AW42"/>
  <c r="AX42" s="1"/>
  <c r="AW41"/>
  <c r="AX41" s="1"/>
  <c r="AW40"/>
  <c r="AX40" s="1"/>
  <c r="AW39"/>
  <c r="AX39" s="1"/>
  <c r="AW38"/>
  <c r="AX38" s="1"/>
  <c r="AV37"/>
  <c r="AU37"/>
  <c r="AU36" s="1"/>
  <c r="AT37"/>
  <c r="AS37"/>
  <c r="AS36" s="1"/>
  <c r="AW36" s="1"/>
  <c r="AX36" s="1"/>
  <c r="AT36"/>
  <c r="AX35"/>
  <c r="AW35"/>
  <c r="AN35"/>
  <c r="AK35"/>
  <c r="AX34"/>
  <c r="AW34"/>
  <c r="AN34"/>
  <c r="AN50" s="1"/>
  <c r="AK34"/>
  <c r="AM33"/>
  <c r="AK33"/>
  <c r="AJ33"/>
  <c r="AI33"/>
  <c r="AH33"/>
  <c r="AX32"/>
  <c r="AW32"/>
  <c r="AV31"/>
  <c r="AW31" s="1"/>
  <c r="AS31"/>
  <c r="AX30"/>
  <c r="AW30"/>
  <c r="AX29"/>
  <c r="AW29"/>
  <c r="AX28"/>
  <c r="AW28"/>
  <c r="AX27"/>
  <c r="AW27"/>
  <c r="AX26"/>
  <c r="AW26"/>
  <c r="AX25"/>
  <c r="AW25"/>
  <c r="AX24"/>
  <c r="AW24"/>
  <c r="AX23"/>
  <c r="AW23"/>
  <c r="AX22"/>
  <c r="AW22"/>
  <c r="AV21"/>
  <c r="AU21"/>
  <c r="AT21"/>
  <c r="AS21"/>
  <c r="AW21" s="1"/>
  <c r="AX21" s="1"/>
  <c r="AX20"/>
  <c r="AW20"/>
  <c r="AV19"/>
  <c r="AU19"/>
  <c r="AU33" s="1"/>
  <c r="AT19"/>
  <c r="AT33" s="1"/>
  <c r="AS19"/>
  <c r="AW19" s="1"/>
  <c r="AX18"/>
  <c r="AW18"/>
  <c r="AV17"/>
  <c r="AV33" s="1"/>
  <c r="AS17"/>
  <c r="AS33" s="1"/>
  <c r="AW33" s="1"/>
  <c r="AX33" s="1"/>
  <c r="AX16"/>
  <c r="AW16"/>
  <c r="AN16"/>
  <c r="AN33" s="1"/>
  <c r="AK16"/>
  <c r="AX15"/>
  <c r="AW15"/>
  <c r="AN15"/>
  <c r="AK15"/>
  <c r="AV14"/>
  <c r="AT14"/>
  <c r="AP14"/>
  <c r="AM14"/>
  <c r="AM62" s="1"/>
  <c r="AE14"/>
  <c r="AW13"/>
  <c r="AR13"/>
  <c r="AX13" s="1"/>
  <c r="AS12"/>
  <c r="AW12" s="1"/>
  <c r="AR12"/>
  <c r="AX11"/>
  <c r="AW11"/>
  <c r="AU11"/>
  <c r="AR11"/>
  <c r="AK11"/>
  <c r="AK14" s="1"/>
  <c r="AG11"/>
  <c r="AW10"/>
  <c r="BA64" s="1"/>
  <c r="BA78" s="1"/>
  <c r="AU10"/>
  <c r="AT10"/>
  <c r="AR10"/>
  <c r="AX10" s="1"/>
  <c r="AK10"/>
  <c r="AG10"/>
  <c r="AW9"/>
  <c r="AU9"/>
  <c r="AR9"/>
  <c r="AX9" s="1"/>
  <c r="AK9"/>
  <c r="X9"/>
  <c r="Z9" s="1"/>
  <c r="AB9" s="1"/>
  <c r="AV8"/>
  <c r="AU8"/>
  <c r="AU14" s="1"/>
  <c r="AT8"/>
  <c r="AS8"/>
  <c r="AS14" s="1"/>
  <c r="AW14" s="1"/>
  <c r="AQ8"/>
  <c r="AQ14" s="1"/>
  <c r="AR14" s="1"/>
  <c r="AP8"/>
  <c r="AR8" s="1"/>
  <c r="AN8"/>
  <c r="AN14" s="1"/>
  <c r="AM8"/>
  <c r="AL8"/>
  <c r="AL14" s="1"/>
  <c r="AL62" s="1"/>
  <c r="AK8"/>
  <c r="AH8"/>
  <c r="AH14" s="1"/>
  <c r="W8"/>
  <c r="X8" s="1"/>
  <c r="Z8" s="1"/>
  <c r="AB8" s="1"/>
  <c r="BA80" l="1"/>
  <c r="AX52"/>
  <c r="BA56"/>
  <c r="AX19"/>
  <c r="AX8"/>
  <c r="AK62"/>
  <c r="AR51"/>
  <c r="AU61"/>
  <c r="AG8"/>
  <c r="AB14"/>
  <c r="AG14" s="1"/>
  <c r="AD8"/>
  <c r="AD9"/>
  <c r="AG9"/>
  <c r="AX31"/>
  <c r="BA53"/>
  <c r="AW60"/>
  <c r="AW61" s="1"/>
  <c r="AS61"/>
  <c r="AU62"/>
  <c r="AX14"/>
  <c r="AS62"/>
  <c r="AW62" s="1"/>
  <c r="AX62" s="1"/>
  <c r="AW8"/>
  <c r="BA48" s="1"/>
  <c r="AW44"/>
  <c r="AX44" s="1"/>
  <c r="AR60"/>
  <c r="AW17"/>
  <c r="AR52"/>
  <c r="AW37"/>
  <c r="AX37" s="1"/>
  <c r="AW51"/>
  <c r="BA45" l="1"/>
  <c r="AX17"/>
  <c r="AR61"/>
  <c r="AX60"/>
  <c r="AX61" s="1"/>
  <c r="AX51"/>
  <c r="BA82" l="1"/>
  <c r="BJ65" i="28" l="1"/>
  <c r="BK65"/>
  <c r="BL65"/>
  <c r="BI65"/>
  <c r="BJ55"/>
  <c r="BK55"/>
  <c r="BK52" s="1"/>
  <c r="BL55"/>
  <c r="BI55"/>
  <c r="BM180"/>
  <c r="BL180"/>
  <c r="BK180"/>
  <c r="BJ180"/>
  <c r="BI180"/>
  <c r="BL177"/>
  <c r="BK177"/>
  <c r="BJ177"/>
  <c r="BI177"/>
  <c r="BM177" s="1"/>
  <c r="BL175"/>
  <c r="BK175"/>
  <c r="BJ175"/>
  <c r="BI175"/>
  <c r="BR178" s="1"/>
  <c r="BL174"/>
  <c r="BK174"/>
  <c r="BJ174"/>
  <c r="BI174"/>
  <c r="BO185" s="1"/>
  <c r="BP208" s="1"/>
  <c r="BL173"/>
  <c r="BK173"/>
  <c r="BJ173"/>
  <c r="BI173"/>
  <c r="BO181" s="1"/>
  <c r="BL172"/>
  <c r="BI172"/>
  <c r="BR181" s="1"/>
  <c r="BL165"/>
  <c r="BK165"/>
  <c r="BJ165"/>
  <c r="BI165"/>
  <c r="BM165" s="1"/>
  <c r="BO178" s="1"/>
  <c r="BP205" s="1"/>
  <c r="BL164"/>
  <c r="BK164"/>
  <c r="BJ164"/>
  <c r="BI164"/>
  <c r="BM164" s="1"/>
  <c r="BO183" s="1"/>
  <c r="BG162"/>
  <c r="BF162"/>
  <c r="BE162"/>
  <c r="BD162"/>
  <c r="BC162"/>
  <c r="BA162"/>
  <c r="AZ162"/>
  <c r="AY162"/>
  <c r="AX162"/>
  <c r="AW162"/>
  <c r="AV162"/>
  <c r="AT162"/>
  <c r="AR162"/>
  <c r="AP162"/>
  <c r="AN162"/>
  <c r="AL162"/>
  <c r="AJ162"/>
  <c r="AH162"/>
  <c r="AG162"/>
  <c r="AF162"/>
  <c r="AE162"/>
  <c r="AC162"/>
  <c r="AA162"/>
  <c r="Y162"/>
  <c r="W162"/>
  <c r="U162"/>
  <c r="S162"/>
  <c r="R162"/>
  <c r="Q162"/>
  <c r="P162"/>
  <c r="O162"/>
  <c r="M162"/>
  <c r="L162"/>
  <c r="K162"/>
  <c r="J162"/>
  <c r="I162"/>
  <c r="G162"/>
  <c r="F162"/>
  <c r="E162"/>
  <c r="D162"/>
  <c r="H162" s="1"/>
  <c r="BM160"/>
  <c r="BL159"/>
  <c r="BK159"/>
  <c r="BJ159"/>
  <c r="BI159"/>
  <c r="BM158"/>
  <c r="BL157"/>
  <c r="BK157"/>
  <c r="BJ157"/>
  <c r="BI157"/>
  <c r="BM156"/>
  <c r="BL155"/>
  <c r="BM155" s="1"/>
  <c r="BM154"/>
  <c r="BL153"/>
  <c r="BK153"/>
  <c r="BJ153"/>
  <c r="BI153"/>
  <c r="BM152"/>
  <c r="BL151"/>
  <c r="BK151"/>
  <c r="BJ151"/>
  <c r="BI151"/>
  <c r="BI161" s="1"/>
  <c r="BM150"/>
  <c r="BM149"/>
  <c r="BM148"/>
  <c r="BM146"/>
  <c r="BM145"/>
  <c r="BM144"/>
  <c r="BM143"/>
  <c r="BM142"/>
  <c r="BL141"/>
  <c r="BK141"/>
  <c r="BJ141"/>
  <c r="BI141"/>
  <c r="BM140"/>
  <c r="BM139"/>
  <c r="BM138"/>
  <c r="BL137"/>
  <c r="BK137"/>
  <c r="BJ137"/>
  <c r="BJ136" s="1"/>
  <c r="BI137"/>
  <c r="BL136"/>
  <c r="BM135"/>
  <c r="BM134"/>
  <c r="BM133"/>
  <c r="BL132"/>
  <c r="BL128" s="1"/>
  <c r="BL115" s="1"/>
  <c r="BL147" s="1"/>
  <c r="BK132"/>
  <c r="BJ132"/>
  <c r="BI132"/>
  <c r="BM131"/>
  <c r="BM130"/>
  <c r="BL129"/>
  <c r="BK129"/>
  <c r="BJ129"/>
  <c r="BJ128" s="1"/>
  <c r="BI129"/>
  <c r="BM129" s="1"/>
  <c r="BM127"/>
  <c r="BM126"/>
  <c r="BM125"/>
  <c r="BL124"/>
  <c r="BK124"/>
  <c r="BJ124"/>
  <c r="BI124"/>
  <c r="BG124"/>
  <c r="BE124"/>
  <c r="BD124"/>
  <c r="BC124"/>
  <c r="BB124"/>
  <c r="BA124"/>
  <c r="BM123"/>
  <c r="BM122"/>
  <c r="BK122"/>
  <c r="BK172" s="1"/>
  <c r="BJ122"/>
  <c r="BJ172" s="1"/>
  <c r="BD122"/>
  <c r="BC122"/>
  <c r="BB122"/>
  <c r="BA122"/>
  <c r="AW122"/>
  <c r="AY122" s="1"/>
  <c r="AP122"/>
  <c r="AE122"/>
  <c r="AG122" s="1"/>
  <c r="AI122" s="1"/>
  <c r="AK122" s="1"/>
  <c r="AM122" s="1"/>
  <c r="AO122" s="1"/>
  <c r="AQ122" s="1"/>
  <c r="AS122" s="1"/>
  <c r="AU122" s="1"/>
  <c r="G122"/>
  <c r="D122"/>
  <c r="BM121"/>
  <c r="BL120"/>
  <c r="BK120"/>
  <c r="BJ120"/>
  <c r="BI120"/>
  <c r="BM120" s="1"/>
  <c r="BG120"/>
  <c r="BE120"/>
  <c r="BD120"/>
  <c r="BC120"/>
  <c r="BB120"/>
  <c r="BA120"/>
  <c r="AW120"/>
  <c r="AY120" s="1"/>
  <c r="AE120"/>
  <c r="AG120" s="1"/>
  <c r="AI120" s="1"/>
  <c r="AK120" s="1"/>
  <c r="AM120" s="1"/>
  <c r="AO120" s="1"/>
  <c r="AQ120" s="1"/>
  <c r="AS120" s="1"/>
  <c r="AU120" s="1"/>
  <c r="W120"/>
  <c r="K120"/>
  <c r="J120"/>
  <c r="N120" s="1"/>
  <c r="P120" s="1"/>
  <c r="R120" s="1"/>
  <c r="T120" s="1"/>
  <c r="V120" s="1"/>
  <c r="X120" s="1"/>
  <c r="Z120" s="1"/>
  <c r="AB120" s="1"/>
  <c r="G120"/>
  <c r="G116" s="1"/>
  <c r="D120"/>
  <c r="BM119"/>
  <c r="BM118"/>
  <c r="BM117"/>
  <c r="BL116"/>
  <c r="BK116"/>
  <c r="BJ116"/>
  <c r="BI116"/>
  <c r="BM116" s="1"/>
  <c r="BD116"/>
  <c r="BC116"/>
  <c r="BE116" s="1"/>
  <c r="BG116" s="1"/>
  <c r="BB116"/>
  <c r="BA116"/>
  <c r="AE116"/>
  <c r="AG116" s="1"/>
  <c r="AI116" s="1"/>
  <c r="AK116" s="1"/>
  <c r="AM116" s="1"/>
  <c r="AO116" s="1"/>
  <c r="AQ116" s="1"/>
  <c r="AS116" s="1"/>
  <c r="AU116" s="1"/>
  <c r="J116"/>
  <c r="N116" s="1"/>
  <c r="P116" s="1"/>
  <c r="R116" s="1"/>
  <c r="T116" s="1"/>
  <c r="V116" s="1"/>
  <c r="X116" s="1"/>
  <c r="Z116" s="1"/>
  <c r="AB116" s="1"/>
  <c r="D116"/>
  <c r="BM113"/>
  <c r="BL112"/>
  <c r="BK112"/>
  <c r="BJ112"/>
  <c r="BI112"/>
  <c r="BM111"/>
  <c r="BL110"/>
  <c r="BK110"/>
  <c r="BJ110"/>
  <c r="BI110"/>
  <c r="BI114" s="1"/>
  <c r="BM108"/>
  <c r="BM107"/>
  <c r="BM106"/>
  <c r="BL105"/>
  <c r="BL109" s="1"/>
  <c r="BK105"/>
  <c r="BK109" s="1"/>
  <c r="BJ105"/>
  <c r="BJ109" s="1"/>
  <c r="BI105"/>
  <c r="BI109" s="1"/>
  <c r="BL104"/>
  <c r="BK104"/>
  <c r="BJ104"/>
  <c r="BI104"/>
  <c r="BD104"/>
  <c r="AX104"/>
  <c r="AW104"/>
  <c r="AJ104"/>
  <c r="AH104"/>
  <c r="AE104"/>
  <c r="AG104" s="1"/>
  <c r="V104"/>
  <c r="X104" s="1"/>
  <c r="Z104" s="1"/>
  <c r="AB104" s="1"/>
  <c r="T104"/>
  <c r="S104"/>
  <c r="D104"/>
  <c r="H104" s="1"/>
  <c r="BM103"/>
  <c r="AY103"/>
  <c r="BA103" s="1"/>
  <c r="AI103"/>
  <c r="AK103" s="1"/>
  <c r="AM103" s="1"/>
  <c r="AO103" s="1"/>
  <c r="AQ103" s="1"/>
  <c r="AS103" s="1"/>
  <c r="AU103" s="1"/>
  <c r="BM102"/>
  <c r="BA102"/>
  <c r="BC102" s="1"/>
  <c r="BE102" s="1"/>
  <c r="BG102" s="1"/>
  <c r="AY102"/>
  <c r="AI102"/>
  <c r="AK102" s="1"/>
  <c r="AM102" s="1"/>
  <c r="AO102" s="1"/>
  <c r="AQ102" s="1"/>
  <c r="AS102" s="1"/>
  <c r="BG101"/>
  <c r="BE101"/>
  <c r="BD101"/>
  <c r="BC101"/>
  <c r="BA101"/>
  <c r="AW101"/>
  <c r="AY101" s="1"/>
  <c r="AR101"/>
  <c r="AJ101"/>
  <c r="AH101"/>
  <c r="AF101"/>
  <c r="AE101"/>
  <c r="G101"/>
  <c r="F101"/>
  <c r="J101" s="1"/>
  <c r="N101" s="1"/>
  <c r="P101" s="1"/>
  <c r="R101" s="1"/>
  <c r="T101" s="1"/>
  <c r="V101" s="1"/>
  <c r="X101" s="1"/>
  <c r="Z101" s="1"/>
  <c r="AB101" s="1"/>
  <c r="E101"/>
  <c r="D101"/>
  <c r="BM100"/>
  <c r="BM99"/>
  <c r="BL98"/>
  <c r="BK98"/>
  <c r="BJ98"/>
  <c r="BI98"/>
  <c r="BM97"/>
  <c r="BM96"/>
  <c r="BM95"/>
  <c r="BM94"/>
  <c r="BL93"/>
  <c r="BK93"/>
  <c r="BJ93"/>
  <c r="BI93"/>
  <c r="BG93"/>
  <c r="BE93"/>
  <c r="BD93"/>
  <c r="BC93"/>
  <c r="BA93"/>
  <c r="AW93"/>
  <c r="AY93" s="1"/>
  <c r="AT93"/>
  <c r="AE93"/>
  <c r="AG93" s="1"/>
  <c r="AI93" s="1"/>
  <c r="AK93" s="1"/>
  <c r="AM93" s="1"/>
  <c r="AO93" s="1"/>
  <c r="AQ93" s="1"/>
  <c r="AS93" s="1"/>
  <c r="AA93"/>
  <c r="Y93"/>
  <c r="J93"/>
  <c r="N93" s="1"/>
  <c r="P93" s="1"/>
  <c r="R93" s="1"/>
  <c r="T93" s="1"/>
  <c r="V93" s="1"/>
  <c r="X93" s="1"/>
  <c r="Z93" s="1"/>
  <c r="AB93" s="1"/>
  <c r="H93"/>
  <c r="E93"/>
  <c r="F93" s="1"/>
  <c r="D93"/>
  <c r="BM92"/>
  <c r="BM91"/>
  <c r="BM90"/>
  <c r="BL89"/>
  <c r="BL169" s="1"/>
  <c r="BK89"/>
  <c r="BK169" s="1"/>
  <c r="BJ89"/>
  <c r="BJ169" s="1"/>
  <c r="BI89"/>
  <c r="BI169" s="1"/>
  <c r="BM88"/>
  <c r="BM87"/>
  <c r="BM86"/>
  <c r="BL85"/>
  <c r="BL168" s="1"/>
  <c r="BK85"/>
  <c r="BK168" s="1"/>
  <c r="BJ85"/>
  <c r="BJ168" s="1"/>
  <c r="BI85"/>
  <c r="BI168" s="1"/>
  <c r="BG84"/>
  <c r="BE84"/>
  <c r="BD84"/>
  <c r="BC84"/>
  <c r="BA84"/>
  <c r="AW84"/>
  <c r="AY84" s="1"/>
  <c r="AT84"/>
  <c r="AE84"/>
  <c r="AG84" s="1"/>
  <c r="AI84" s="1"/>
  <c r="AK84" s="1"/>
  <c r="AM84" s="1"/>
  <c r="AO84" s="1"/>
  <c r="AQ84" s="1"/>
  <c r="AS84" s="1"/>
  <c r="J84"/>
  <c r="N84" s="1"/>
  <c r="P84" s="1"/>
  <c r="R84" s="1"/>
  <c r="T84" s="1"/>
  <c r="V84" s="1"/>
  <c r="X84" s="1"/>
  <c r="Z84" s="1"/>
  <c r="AB84" s="1"/>
  <c r="H84"/>
  <c r="E84"/>
  <c r="F84" s="1"/>
  <c r="D84"/>
  <c r="BM83"/>
  <c r="BM82"/>
  <c r="BL81"/>
  <c r="BL166" s="1"/>
  <c r="BK81"/>
  <c r="BK166" s="1"/>
  <c r="BJ81"/>
  <c r="BJ166" s="1"/>
  <c r="BI81"/>
  <c r="BG81"/>
  <c r="BE81"/>
  <c r="BD81"/>
  <c r="BC81"/>
  <c r="BA81"/>
  <c r="AY81"/>
  <c r="AE81"/>
  <c r="AG81" s="1"/>
  <c r="AI81" s="1"/>
  <c r="AK81" s="1"/>
  <c r="AM81" s="1"/>
  <c r="AO81" s="1"/>
  <c r="AQ81" s="1"/>
  <c r="AS81" s="1"/>
  <c r="AU81" s="1"/>
  <c r="J81"/>
  <c r="N81" s="1"/>
  <c r="P81" s="1"/>
  <c r="R81" s="1"/>
  <c r="T81" s="1"/>
  <c r="V81" s="1"/>
  <c r="X81" s="1"/>
  <c r="Z81" s="1"/>
  <c r="AB81" s="1"/>
  <c r="E81"/>
  <c r="F81" s="1"/>
  <c r="D81"/>
  <c r="H81" s="1"/>
  <c r="BM80"/>
  <c r="BM79"/>
  <c r="AW79"/>
  <c r="AY79" s="1"/>
  <c r="BA79" s="1"/>
  <c r="BC79" s="1"/>
  <c r="BE79" s="1"/>
  <c r="BG79" s="1"/>
  <c r="AG79"/>
  <c r="AI79" s="1"/>
  <c r="AK79" s="1"/>
  <c r="AM79" s="1"/>
  <c r="AO79" s="1"/>
  <c r="AQ79" s="1"/>
  <c r="AS79" s="1"/>
  <c r="AU79" s="1"/>
  <c r="L79"/>
  <c r="G79"/>
  <c r="H79" s="1"/>
  <c r="J79" s="1"/>
  <c r="N79" s="1"/>
  <c r="P79" s="1"/>
  <c r="R79" s="1"/>
  <c r="T79" s="1"/>
  <c r="V79" s="1"/>
  <c r="X79" s="1"/>
  <c r="Z79" s="1"/>
  <c r="AB79" s="1"/>
  <c r="F79"/>
  <c r="D79"/>
  <c r="BM78"/>
  <c r="AW78"/>
  <c r="AY78" s="1"/>
  <c r="BA78" s="1"/>
  <c r="BC78" s="1"/>
  <c r="BE78" s="1"/>
  <c r="BG78" s="1"/>
  <c r="AG78"/>
  <c r="AI78" s="1"/>
  <c r="AK78" s="1"/>
  <c r="AM78" s="1"/>
  <c r="AO78" s="1"/>
  <c r="AQ78" s="1"/>
  <c r="AS78" s="1"/>
  <c r="AU78" s="1"/>
  <c r="L78"/>
  <c r="G78"/>
  <c r="D78"/>
  <c r="BG77"/>
  <c r="BE77"/>
  <c r="BD77"/>
  <c r="BC77"/>
  <c r="BA77"/>
  <c r="AW77"/>
  <c r="AY77" s="1"/>
  <c r="AR77"/>
  <c r="AJ77"/>
  <c r="AH77"/>
  <c r="AF77"/>
  <c r="AE77"/>
  <c r="G77"/>
  <c r="F77"/>
  <c r="J77" s="1"/>
  <c r="N77" s="1"/>
  <c r="P77" s="1"/>
  <c r="R77" s="1"/>
  <c r="T77" s="1"/>
  <c r="V77" s="1"/>
  <c r="X77" s="1"/>
  <c r="Z77" s="1"/>
  <c r="AB77" s="1"/>
  <c r="E77"/>
  <c r="D77"/>
  <c r="BM76"/>
  <c r="BM75"/>
  <c r="BM74"/>
  <c r="BM73"/>
  <c r="BL72"/>
  <c r="BK72"/>
  <c r="BJ72"/>
  <c r="BI72"/>
  <c r="BM71"/>
  <c r="BM70"/>
  <c r="BM69"/>
  <c r="BM68"/>
  <c r="BM67"/>
  <c r="BM66"/>
  <c r="BM64"/>
  <c r="BM63"/>
  <c r="BL62"/>
  <c r="BM61"/>
  <c r="BM60"/>
  <c r="BM59"/>
  <c r="BM58"/>
  <c r="BM57"/>
  <c r="BM56"/>
  <c r="BL52"/>
  <c r="BJ52"/>
  <c r="BM54"/>
  <c r="BM53"/>
  <c r="BM51"/>
  <c r="BL50"/>
  <c r="BL176" s="1"/>
  <c r="BK50"/>
  <c r="BK176" s="1"/>
  <c r="BJ50"/>
  <c r="BI50"/>
  <c r="BM49"/>
  <c r="BM48"/>
  <c r="BL47"/>
  <c r="BK47"/>
  <c r="BJ47"/>
  <c r="BI47"/>
  <c r="BG47"/>
  <c r="BE47"/>
  <c r="BD47"/>
  <c r="BC47"/>
  <c r="BA47"/>
  <c r="AW47"/>
  <c r="AY47" s="1"/>
  <c r="AF47"/>
  <c r="AE47"/>
  <c r="BM46"/>
  <c r="BM45"/>
  <c r="BM44"/>
  <c r="BM43"/>
  <c r="BM42"/>
  <c r="BM41"/>
  <c r="BM40"/>
  <c r="BK39"/>
  <c r="BJ39"/>
  <c r="BI39"/>
  <c r="BM39" s="1"/>
  <c r="BG39"/>
  <c r="BE39"/>
  <c r="BD39"/>
  <c r="BC39"/>
  <c r="BB39"/>
  <c r="BA39"/>
  <c r="AW39"/>
  <c r="AY39" s="1"/>
  <c r="AE39"/>
  <c r="AG39" s="1"/>
  <c r="AI39" s="1"/>
  <c r="AK39" s="1"/>
  <c r="AM39" s="1"/>
  <c r="AO39" s="1"/>
  <c r="AQ39" s="1"/>
  <c r="AS39" s="1"/>
  <c r="AU39" s="1"/>
  <c r="H39"/>
  <c r="J39" s="1"/>
  <c r="N39" s="1"/>
  <c r="P39" s="1"/>
  <c r="R39" s="1"/>
  <c r="T39" s="1"/>
  <c r="V39" s="1"/>
  <c r="X39" s="1"/>
  <c r="Z39" s="1"/>
  <c r="AB39" s="1"/>
  <c r="E39"/>
  <c r="F39" s="1"/>
  <c r="D39"/>
  <c r="BM38"/>
  <c r="AY38"/>
  <c r="BA38" s="1"/>
  <c r="BC38" s="1"/>
  <c r="BE38" s="1"/>
  <c r="BG38" s="1"/>
  <c r="AI38"/>
  <c r="AK38" s="1"/>
  <c r="AM38" s="1"/>
  <c r="AO38" s="1"/>
  <c r="AQ38" s="1"/>
  <c r="AS38" s="1"/>
  <c r="AU38" s="1"/>
  <c r="BM37"/>
  <c r="AY37"/>
  <c r="BA37" s="1"/>
  <c r="BC37" s="1"/>
  <c r="BE37" s="1"/>
  <c r="BG37" s="1"/>
  <c r="AI37"/>
  <c r="AK37" s="1"/>
  <c r="AM37" s="1"/>
  <c r="AO37" s="1"/>
  <c r="AQ37" s="1"/>
  <c r="AS37" s="1"/>
  <c r="AU37" s="1"/>
  <c r="BM35"/>
  <c r="BL34"/>
  <c r="BK34"/>
  <c r="BJ34"/>
  <c r="BI34"/>
  <c r="BM34" s="1"/>
  <c r="BM33"/>
  <c r="BL32"/>
  <c r="BL36" s="1"/>
  <c r="BK32"/>
  <c r="BJ32"/>
  <c r="BI32"/>
  <c r="BM30"/>
  <c r="BL29"/>
  <c r="BK29"/>
  <c r="BJ29"/>
  <c r="BI29"/>
  <c r="BM29" s="1"/>
  <c r="BM28"/>
  <c r="BL27"/>
  <c r="BK27"/>
  <c r="BJ27"/>
  <c r="BI27"/>
  <c r="BM26"/>
  <c r="BL25"/>
  <c r="BK25"/>
  <c r="BJ25"/>
  <c r="BI25"/>
  <c r="BM25" s="1"/>
  <c r="AE24"/>
  <c r="AG24" s="1"/>
  <c r="AI24" s="1"/>
  <c r="AK24" s="1"/>
  <c r="AM24" s="1"/>
  <c r="AO24" s="1"/>
  <c r="AQ24" s="1"/>
  <c r="AS24" s="1"/>
  <c r="AU24" s="1"/>
  <c r="AW24" s="1"/>
  <c r="AY24" s="1"/>
  <c r="BA24" s="1"/>
  <c r="BC24" s="1"/>
  <c r="BE24" s="1"/>
  <c r="BG24" s="1"/>
  <c r="H24"/>
  <c r="E24"/>
  <c r="F24" s="1"/>
  <c r="J24" s="1"/>
  <c r="N24" s="1"/>
  <c r="P24" s="1"/>
  <c r="R24" s="1"/>
  <c r="T24" s="1"/>
  <c r="V24" s="1"/>
  <c r="X24" s="1"/>
  <c r="Z24" s="1"/>
  <c r="AB24" s="1"/>
  <c r="BM23"/>
  <c r="BL22"/>
  <c r="BK22"/>
  <c r="BJ22"/>
  <c r="BI22"/>
  <c r="BM21"/>
  <c r="BL20"/>
  <c r="BK20"/>
  <c r="BJ20"/>
  <c r="BI20"/>
  <c r="BM20" s="1"/>
  <c r="BM19"/>
  <c r="BL18"/>
  <c r="BL171" s="1"/>
  <c r="BK18"/>
  <c r="BJ18"/>
  <c r="BJ171" s="1"/>
  <c r="BI18"/>
  <c r="BM17"/>
  <c r="BL16"/>
  <c r="BI16"/>
  <c r="BM16" s="1"/>
  <c r="BM15"/>
  <c r="BL14"/>
  <c r="BL167" s="1"/>
  <c r="BI14"/>
  <c r="G14"/>
  <c r="H14" s="1"/>
  <c r="BL13"/>
  <c r="BK13"/>
  <c r="BJ13"/>
  <c r="BI13"/>
  <c r="BM13" s="1"/>
  <c r="BM12"/>
  <c r="BM11"/>
  <c r="BL10"/>
  <c r="BK10"/>
  <c r="BJ10"/>
  <c r="BI10"/>
  <c r="BM10" s="1"/>
  <c r="BM9"/>
  <c r="BM8"/>
  <c r="BL7"/>
  <c r="BK7"/>
  <c r="BJ7"/>
  <c r="BI7"/>
  <c r="BD7"/>
  <c r="AE7"/>
  <c r="AG7" s="1"/>
  <c r="AI7" s="1"/>
  <c r="AK7" s="1"/>
  <c r="AM7" s="1"/>
  <c r="AO7" s="1"/>
  <c r="AQ7" s="1"/>
  <c r="AS7" s="1"/>
  <c r="AU7" s="1"/>
  <c r="BM6"/>
  <c r="BM5"/>
  <c r="AW5"/>
  <c r="AY5" s="1"/>
  <c r="BA5" s="1"/>
  <c r="BC5" s="1"/>
  <c r="BE5" s="1"/>
  <c r="BG5" s="1"/>
  <c r="AG5"/>
  <c r="AI5" s="1"/>
  <c r="AK5" s="1"/>
  <c r="AM5" s="1"/>
  <c r="AO5" s="1"/>
  <c r="AQ5" s="1"/>
  <c r="AS5" s="1"/>
  <c r="AU5" s="1"/>
  <c r="BM4"/>
  <c r="AW4"/>
  <c r="AY4" s="1"/>
  <c r="BA4" s="1"/>
  <c r="AG4"/>
  <c r="AI4" s="1"/>
  <c r="AK4" s="1"/>
  <c r="AM4" s="1"/>
  <c r="AO4" s="1"/>
  <c r="AQ4" s="1"/>
  <c r="AS4" s="1"/>
  <c r="AU4" s="1"/>
  <c r="BM65" l="1"/>
  <c r="BL179"/>
  <c r="BM114"/>
  <c r="BK36"/>
  <c r="AU93"/>
  <c r="AI104"/>
  <c r="AK104" s="1"/>
  <c r="AM104" s="1"/>
  <c r="AO104" s="1"/>
  <c r="AQ104" s="1"/>
  <c r="AS104" s="1"/>
  <c r="AU104" s="1"/>
  <c r="BL114"/>
  <c r="AI162"/>
  <c r="AK162" s="1"/>
  <c r="BJ36"/>
  <c r="AU84"/>
  <c r="BI84"/>
  <c r="BI101" s="1"/>
  <c r="BK114"/>
  <c r="BJ115"/>
  <c r="BJ147" s="1"/>
  <c r="BK161"/>
  <c r="T162"/>
  <c r="V162" s="1"/>
  <c r="X162" s="1"/>
  <c r="Z162" s="1"/>
  <c r="AB162" s="1"/>
  <c r="BJ176"/>
  <c r="AW116"/>
  <c r="AY116" s="1"/>
  <c r="BL77"/>
  <c r="BI167"/>
  <c r="BL170"/>
  <c r="BK171"/>
  <c r="BI24"/>
  <c r="BL31"/>
  <c r="BI36"/>
  <c r="BM36" s="1"/>
  <c r="BM50"/>
  <c r="BM55"/>
  <c r="BM72"/>
  <c r="H77"/>
  <c r="H78"/>
  <c r="J78" s="1"/>
  <c r="N78" s="1"/>
  <c r="P78" s="1"/>
  <c r="R78" s="1"/>
  <c r="T78" s="1"/>
  <c r="V78" s="1"/>
  <c r="X78" s="1"/>
  <c r="Z78" s="1"/>
  <c r="AB78" s="1"/>
  <c r="BM168"/>
  <c r="BR189" s="1"/>
  <c r="H101"/>
  <c r="AG101"/>
  <c r="AI101" s="1"/>
  <c r="AK101" s="1"/>
  <c r="AM101" s="1"/>
  <c r="AO101" s="1"/>
  <c r="AQ101" s="1"/>
  <c r="AS101" s="1"/>
  <c r="AU101" s="1"/>
  <c r="BM104"/>
  <c r="BJ114"/>
  <c r="BM112"/>
  <c r="H120"/>
  <c r="H122"/>
  <c r="J122" s="1"/>
  <c r="N122" s="1"/>
  <c r="P122" s="1"/>
  <c r="R122" s="1"/>
  <c r="T122" s="1"/>
  <c r="V122" s="1"/>
  <c r="X122" s="1"/>
  <c r="Z122" s="1"/>
  <c r="AB122" s="1"/>
  <c r="BE122"/>
  <c r="BG122" s="1"/>
  <c r="BM124"/>
  <c r="BM137"/>
  <c r="BJ161"/>
  <c r="BM153"/>
  <c r="BM159"/>
  <c r="BK31"/>
  <c r="BJ31"/>
  <c r="BK62"/>
  <c r="BK77" s="1"/>
  <c r="BL84"/>
  <c r="BM169"/>
  <c r="BP189" s="1"/>
  <c r="H116"/>
  <c r="BK128"/>
  <c r="BM132"/>
  <c r="BM141"/>
  <c r="BM157"/>
  <c r="BP204"/>
  <c r="BR176"/>
  <c r="BI171"/>
  <c r="BL178"/>
  <c r="BM27"/>
  <c r="AG47"/>
  <c r="AI47" s="1"/>
  <c r="AK47" s="1"/>
  <c r="AM47" s="1"/>
  <c r="AO47" s="1"/>
  <c r="AQ47" s="1"/>
  <c r="AS47" s="1"/>
  <c r="AU47" s="1"/>
  <c r="BM47"/>
  <c r="BJ62"/>
  <c r="BJ77" s="1"/>
  <c r="AG77"/>
  <c r="AI77" s="1"/>
  <c r="AK77" s="1"/>
  <c r="AM77" s="1"/>
  <c r="AO77" s="1"/>
  <c r="AQ77" s="1"/>
  <c r="AS77" s="1"/>
  <c r="AU77" s="1"/>
  <c r="BJ84"/>
  <c r="BM93"/>
  <c r="BM98"/>
  <c r="AY104"/>
  <c r="BK136"/>
  <c r="BL161"/>
  <c r="BM161" s="1"/>
  <c r="N162"/>
  <c r="AM162"/>
  <c r="AO162" s="1"/>
  <c r="AQ162" s="1"/>
  <c r="AS162" s="1"/>
  <c r="AU162" s="1"/>
  <c r="BA104"/>
  <c r="BC103"/>
  <c r="BM109"/>
  <c r="BM167"/>
  <c r="BR192"/>
  <c r="BJ178"/>
  <c r="BC4"/>
  <c r="BA7"/>
  <c r="BM171"/>
  <c r="BR183"/>
  <c r="BM7"/>
  <c r="BM14"/>
  <c r="BK16"/>
  <c r="BM18"/>
  <c r="BM22"/>
  <c r="BL24"/>
  <c r="BM24" s="1"/>
  <c r="BI31"/>
  <c r="BM31" s="1"/>
  <c r="BK84"/>
  <c r="BL101"/>
  <c r="E104"/>
  <c r="F104" s="1"/>
  <c r="J104" s="1"/>
  <c r="N104" s="1"/>
  <c r="P104" s="1"/>
  <c r="R104" s="1"/>
  <c r="E120"/>
  <c r="BI128"/>
  <c r="BI136"/>
  <c r="BM136" s="1"/>
  <c r="BI166"/>
  <c r="BI170"/>
  <c r="BI176"/>
  <c r="E14"/>
  <c r="F14" s="1"/>
  <c r="J14" s="1"/>
  <c r="N14" s="1"/>
  <c r="P14" s="1"/>
  <c r="R14" s="1"/>
  <c r="T14" s="1"/>
  <c r="V14" s="1"/>
  <c r="X14" s="1"/>
  <c r="Z14" s="1"/>
  <c r="AB14" s="1"/>
  <c r="BJ16"/>
  <c r="BI52"/>
  <c r="BM52" s="1"/>
  <c r="BM85"/>
  <c r="BM89"/>
  <c r="BK101"/>
  <c r="E122"/>
  <c r="F122" s="1"/>
  <c r="BM151"/>
  <c r="BM173"/>
  <c r="BM175"/>
  <c r="AW7"/>
  <c r="AY7" s="1"/>
  <c r="BI62"/>
  <c r="BM62" s="1"/>
  <c r="E78"/>
  <c r="F78" s="1"/>
  <c r="BJ101"/>
  <c r="BM110"/>
  <c r="BM172"/>
  <c r="BM32"/>
  <c r="BM81"/>
  <c r="BM105"/>
  <c r="BM174"/>
  <c r="BK115" l="1"/>
  <c r="BK147" s="1"/>
  <c r="BK179"/>
  <c r="BM84"/>
  <c r="BK178"/>
  <c r="BP193"/>
  <c r="BL181"/>
  <c r="BJ179"/>
  <c r="BI178"/>
  <c r="BM178" s="1"/>
  <c r="BP207"/>
  <c r="BM101"/>
  <c r="BJ170"/>
  <c r="BR187"/>
  <c r="BM170"/>
  <c r="F120"/>
  <c r="F116" s="1"/>
  <c r="E116"/>
  <c r="BK170"/>
  <c r="BR185"/>
  <c r="BM176"/>
  <c r="BI115"/>
  <c r="BM128"/>
  <c r="BE4"/>
  <c r="BC7"/>
  <c r="BC104"/>
  <c r="BE103"/>
  <c r="BL162"/>
  <c r="BI77"/>
  <c r="BM77" s="1"/>
  <c r="BR194"/>
  <c r="BM166"/>
  <c r="BI179"/>
  <c r="BR174" l="1"/>
  <c r="BI147"/>
  <c r="BM115"/>
  <c r="BM179"/>
  <c r="BR173"/>
  <c r="BR196" s="1"/>
  <c r="BI181"/>
  <c r="BM181" s="1"/>
  <c r="BG103"/>
  <c r="BG104" s="1"/>
  <c r="BE104"/>
  <c r="BE7"/>
  <c r="BG4"/>
  <c r="BG7" s="1"/>
  <c r="BM147" l="1"/>
  <c r="BI162"/>
  <c r="BM162" s="1"/>
  <c r="BP206"/>
  <c r="BP209" s="1"/>
  <c r="BO200"/>
  <c r="AK6" i="30" l="1"/>
  <c r="AK5"/>
  <c r="AH5"/>
  <c r="L6"/>
  <c r="N6" s="1"/>
  <c r="P6" s="1"/>
  <c r="V6"/>
  <c r="Y6"/>
  <c r="AA6"/>
  <c r="AE6"/>
  <c r="AI5"/>
  <c r="AJ5"/>
  <c r="AG5"/>
  <c r="AH7" l="1"/>
  <c r="AI7"/>
  <c r="AJ7"/>
  <c r="AK7"/>
  <c r="AG7"/>
  <c r="AD7" l="1"/>
  <c r="AC7"/>
  <c r="AF5"/>
  <c r="AF7" s="1"/>
  <c r="AE5"/>
  <c r="AE7" s="1"/>
  <c r="AB5"/>
  <c r="U5"/>
  <c r="R5"/>
  <c r="K5"/>
  <c r="J5"/>
  <c r="Y5" l="1"/>
  <c r="L5"/>
  <c r="N5" s="1"/>
  <c r="P5" s="1"/>
  <c r="AA5"/>
  <c r="V5"/>
  <c r="AV28" i="17" l="1"/>
  <c r="AV27"/>
  <c r="BM28"/>
  <c r="BM29"/>
  <c r="BM30"/>
  <c r="AW25"/>
  <c r="AW26"/>
  <c r="AW30"/>
  <c r="AC15"/>
  <c r="AE15"/>
  <c r="AG15"/>
  <c r="AH15"/>
  <c r="AI15"/>
  <c r="AJ15"/>
  <c r="AK15"/>
  <c r="AP15"/>
  <c r="AQ15"/>
  <c r="AS15"/>
  <c r="AT15"/>
  <c r="AU15"/>
  <c r="AV15"/>
  <c r="AY15"/>
  <c r="BC15"/>
  <c r="BD15"/>
  <c r="BE15"/>
  <c r="BH15"/>
  <c r="BI15"/>
  <c r="BL15"/>
  <c r="AX26" l="1"/>
  <c r="AZ26" s="1"/>
  <c r="AX27" l="1"/>
  <c r="AZ27" s="1"/>
  <c r="BN30" l="1"/>
  <c r="U30"/>
  <c r="BF29"/>
  <c r="BJ29" s="1"/>
  <c r="AR29"/>
  <c r="AO29"/>
  <c r="BA29" s="1"/>
  <c r="AF29"/>
  <c r="AD29"/>
  <c r="AN29" s="1"/>
  <c r="AX29" s="1"/>
  <c r="AZ29" s="1"/>
  <c r="J29"/>
  <c r="O29" s="1"/>
  <c r="U29" s="1"/>
  <c r="Y29" s="1"/>
  <c r="AM29" s="1"/>
  <c r="AW29" s="1"/>
  <c r="I29"/>
  <c r="AB29" s="1"/>
  <c r="AL29" s="1"/>
  <c r="AR28"/>
  <c r="BB28" s="1"/>
  <c r="BF28" s="1"/>
  <c r="BJ28" s="1"/>
  <c r="AO28"/>
  <c r="BA28" s="1"/>
  <c r="AF28"/>
  <c r="AD28"/>
  <c r="AN28" s="1"/>
  <c r="AX28" s="1"/>
  <c r="AZ28" s="1"/>
  <c r="J28"/>
  <c r="O28" s="1"/>
  <c r="U28" s="1"/>
  <c r="Y28" s="1"/>
  <c r="AM28" s="1"/>
  <c r="AW28" s="1"/>
  <c r="I28"/>
  <c r="AB28" s="1"/>
  <c r="AL28" s="1"/>
  <c r="BK27"/>
  <c r="BM27" s="1"/>
  <c r="AR27"/>
  <c r="BB27" s="1"/>
  <c r="BF27" s="1"/>
  <c r="BJ27" s="1"/>
  <c r="AO27"/>
  <c r="BA27" s="1"/>
  <c r="AF27"/>
  <c r="AD27"/>
  <c r="J27"/>
  <c r="O27" s="1"/>
  <c r="U27" s="1"/>
  <c r="Y27" s="1"/>
  <c r="AM27" s="1"/>
  <c r="AW27" s="1"/>
  <c r="I27"/>
  <c r="AB27" s="1"/>
  <c r="AL27" s="1"/>
  <c r="BG26"/>
  <c r="BK26" s="1"/>
  <c r="BM26" s="1"/>
  <c r="AR26"/>
  <c r="BB26" s="1"/>
  <c r="BF26" s="1"/>
  <c r="BJ26" s="1"/>
  <c r="AO26"/>
  <c r="BA26" s="1"/>
  <c r="AF26"/>
  <c r="AD26"/>
  <c r="J26"/>
  <c r="O26" s="1"/>
  <c r="U26" s="1"/>
  <c r="Y26" s="1"/>
  <c r="I26"/>
  <c r="AB26" s="1"/>
  <c r="AL26" s="1"/>
  <c r="BG25"/>
  <c r="BK25" s="1"/>
  <c r="BM25" s="1"/>
  <c r="BF25"/>
  <c r="BJ25" s="1"/>
  <c r="AR25"/>
  <c r="AO25"/>
  <c r="BA25" s="1"/>
  <c r="AF25"/>
  <c r="S25"/>
  <c r="AD25" s="1"/>
  <c r="AN25" s="1"/>
  <c r="AX25" s="1"/>
  <c r="AZ25" s="1"/>
  <c r="J25"/>
  <c r="O25" s="1"/>
  <c r="U25" s="1"/>
  <c r="Y25" s="1"/>
  <c r="I25"/>
  <c r="AB25" s="1"/>
  <c r="AL25" s="1"/>
  <c r="BG24"/>
  <c r="AR24"/>
  <c r="BB24" s="1"/>
  <c r="BF24" s="1"/>
  <c r="BJ24" s="1"/>
  <c r="AO24"/>
  <c r="AF24"/>
  <c r="AD24"/>
  <c r="AN24" s="1"/>
  <c r="AX24" s="1"/>
  <c r="AZ24" s="1"/>
  <c r="J24"/>
  <c r="O24" s="1"/>
  <c r="U24" s="1"/>
  <c r="Y24" s="1"/>
  <c r="AM24" s="1"/>
  <c r="AW24" s="1"/>
  <c r="I24"/>
  <c r="AR23"/>
  <c r="BB23" s="1"/>
  <c r="BF23" s="1"/>
  <c r="BJ23" s="1"/>
  <c r="AF23"/>
  <c r="AD23"/>
  <c r="J23"/>
  <c r="O23" s="1"/>
  <c r="U23" s="1"/>
  <c r="Y23" s="1"/>
  <c r="AM23" s="1"/>
  <c r="AW23" s="1"/>
  <c r="AR22"/>
  <c r="BB22" s="1"/>
  <c r="BF22" s="1"/>
  <c r="BJ22" s="1"/>
  <c r="AF22"/>
  <c r="J22"/>
  <c r="O22" s="1"/>
  <c r="U22" s="1"/>
  <c r="Y22" s="1"/>
  <c r="AM22" s="1"/>
  <c r="AW22" s="1"/>
  <c r="AR21"/>
  <c r="AF21"/>
  <c r="J21"/>
  <c r="O21" s="1"/>
  <c r="U21" s="1"/>
  <c r="Y21" s="1"/>
  <c r="AM21" s="1"/>
  <c r="AW21" s="1"/>
  <c r="AR20"/>
  <c r="BB20" s="1"/>
  <c r="BF20" s="1"/>
  <c r="BJ20" s="1"/>
  <c r="AF20"/>
  <c r="J20"/>
  <c r="O20" s="1"/>
  <c r="U20" s="1"/>
  <c r="Y20" s="1"/>
  <c r="AM20" s="1"/>
  <c r="AW20" s="1"/>
  <c r="AR19"/>
  <c r="BB19" s="1"/>
  <c r="BF19" s="1"/>
  <c r="BJ19" s="1"/>
  <c r="AF19"/>
  <c r="J19"/>
  <c r="O19" s="1"/>
  <c r="U19" s="1"/>
  <c r="Y19" s="1"/>
  <c r="AM19" s="1"/>
  <c r="AW19" s="1"/>
  <c r="AR18"/>
  <c r="BB18" s="1"/>
  <c r="AF18"/>
  <c r="J18"/>
  <c r="O18" s="1"/>
  <c r="AA15"/>
  <c r="Z15"/>
  <c r="W15"/>
  <c r="V15"/>
  <c r="T15"/>
  <c r="R15"/>
  <c r="P15"/>
  <c r="N15"/>
  <c r="K15"/>
  <c r="H15"/>
  <c r="G15"/>
  <c r="F15"/>
  <c r="D15"/>
  <c r="C15"/>
  <c r="BN19" l="1"/>
  <c r="BG15"/>
  <c r="BN20"/>
  <c r="E15"/>
  <c r="Q15"/>
  <c r="S15"/>
  <c r="AD15"/>
  <c r="J15"/>
  <c r="I15"/>
  <c r="BN27"/>
  <c r="AF15"/>
  <c r="BN25"/>
  <c r="BN26"/>
  <c r="AR15"/>
  <c r="BK24"/>
  <c r="BN28"/>
  <c r="BA24"/>
  <c r="BA15" s="1"/>
  <c r="AO15"/>
  <c r="BN22"/>
  <c r="BN29"/>
  <c r="U18"/>
  <c r="O15"/>
  <c r="AB24"/>
  <c r="AL24" s="1"/>
  <c r="AL15" s="1"/>
  <c r="X15"/>
  <c r="BF18"/>
  <c r="BB21"/>
  <c r="BF21" s="1"/>
  <c r="BJ21" s="1"/>
  <c r="BN21" s="1"/>
  <c r="AN23"/>
  <c r="BJ18" l="1"/>
  <c r="BJ15" s="1"/>
  <c r="BF15"/>
  <c r="BB15"/>
  <c r="AN15"/>
  <c r="AX23"/>
  <c r="BM24"/>
  <c r="BM15" s="1"/>
  <c r="BK15"/>
  <c r="U15"/>
  <c r="Y18"/>
  <c r="AB15"/>
  <c r="AZ23" l="1"/>
  <c r="AX15"/>
  <c r="BN24"/>
  <c r="Y15"/>
  <c r="AZ15" l="1"/>
  <c r="BN23"/>
  <c r="AM18"/>
  <c r="AW18" l="1"/>
  <c r="AM15"/>
  <c r="BN18" l="1"/>
  <c r="BN15" s="1"/>
  <c r="AW15"/>
  <c r="BK162" i="28"/>
  <c r="BJ181"/>
  <c r="BJ167"/>
  <c r="BK24"/>
  <c r="BK14"/>
  <c r="BK167"/>
  <c r="BK181"/>
  <c r="BJ14"/>
  <c r="BJ24"/>
  <c r="BJ162"/>
</calcChain>
</file>

<file path=xl/sharedStrings.xml><?xml version="1.0" encoding="utf-8"?>
<sst xmlns="http://schemas.openxmlformats.org/spreadsheetml/2006/main" count="691" uniqueCount="284">
  <si>
    <t>КЦСР</t>
  </si>
  <si>
    <t>Услуги связи</t>
  </si>
  <si>
    <t>Сумма расходов на год</t>
  </si>
  <si>
    <t>Заработная плата</t>
  </si>
  <si>
    <t>Начисления на выплаты по оплате труда</t>
  </si>
  <si>
    <t xml:space="preserve">Транспортные расходы </t>
  </si>
  <si>
    <t>Коммунальные услуги</t>
  </si>
  <si>
    <t>Услуги по содержанию имущества</t>
  </si>
  <si>
    <t>Прочие услуги</t>
  </si>
  <si>
    <t>Увеличение стоимости материальных запасов</t>
  </si>
  <si>
    <t>Сумма расходов на год с учетом изменений</t>
  </si>
  <si>
    <t>ИТОГО</t>
  </si>
  <si>
    <t>Наменование расходов</t>
  </si>
  <si>
    <t>Транспортные расходы</t>
  </si>
  <si>
    <t>Наименование показателей</t>
  </si>
  <si>
    <t>Код бюджетной классификации (глава, раздел, подраздел, целевая статья, вид расхода, код экономической классификации расходов)</t>
  </si>
  <si>
    <t>033.0707.4310104.019.241</t>
  </si>
  <si>
    <t>033.0707.5201501.019.241</t>
  </si>
  <si>
    <t>033.0707.4310101.019.241</t>
  </si>
  <si>
    <t>033.0707.4310106.019.241</t>
  </si>
  <si>
    <t>033.0707.860000.019.241</t>
  </si>
  <si>
    <t>Сумма бюджетного обязательства на год в рублях:</t>
  </si>
  <si>
    <t>График оплаты по месяцам: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</si>
  <si>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</si>
  <si>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</si>
  <si>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</si>
  <si>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</si>
  <si>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</si>
  <si>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</si>
  <si>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</si>
  <si>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(расшифровка подписи)</t>
  </si>
  <si>
    <t xml:space="preserve">Отдел спорта, туризма и молодежной политики </t>
  </si>
  <si>
    <t xml:space="preserve">Администрации города Шарыпово </t>
  </si>
  <si>
    <t xml:space="preserve">РАСШИФРОВКА
к изменениям бюджетных обязательств на оказание услуг
</t>
  </si>
  <si>
    <t>Краткое содержание соглашения _________________________________________________________________________________</t>
  </si>
  <si>
    <t>Наименование поставщика</t>
  </si>
  <si>
    <t>Условия оплаты поставки (предоплата, по факту поставки) _______________________________________________</t>
  </si>
  <si>
    <t>Бюджетное обязательство(первоначальное)</t>
  </si>
  <si>
    <t>Изменения (+;-)</t>
  </si>
  <si>
    <t>Август</t>
  </si>
  <si>
    <t>Сентябрь</t>
  </si>
  <si>
    <t>Октябрь</t>
  </si>
  <si>
    <t>Ноябрь</t>
  </si>
  <si>
    <t>Декабрь</t>
  </si>
  <si>
    <t>В.В. Тараватова</t>
  </si>
  <si>
    <t>Бюджетное обязательство(измененное)</t>
  </si>
  <si>
    <t>МБУ МЦ «ИМА» л/с 711932П1581</t>
  </si>
  <si>
    <t>033.0707.9240000.019.241</t>
  </si>
  <si>
    <t>Изменения (+,-)</t>
  </si>
  <si>
    <t>033.0707.8600000.019.241</t>
  </si>
  <si>
    <t xml:space="preserve">л/с 311932П6001; 3019П6001. </t>
  </si>
  <si>
    <t>Соглашение от 09.01.2013 года № 1                                      Срок действия 31 декабря 2013 года</t>
  </si>
  <si>
    <t xml:space="preserve">                                   Общая сумма по договору  4 779 082,00 рублей без НДС </t>
  </si>
  <si>
    <t>итого</t>
  </si>
  <si>
    <t>И.о. руководителя</t>
  </si>
  <si>
    <t>Зам.гл.бухгалтера</t>
  </si>
  <si>
    <t>Л.С. Якупова</t>
  </si>
  <si>
    <t>Сумма расходов на год 2014</t>
  </si>
  <si>
    <t>Сумма расходов на год 2015</t>
  </si>
  <si>
    <t>Сумма расходов на год 2016</t>
  </si>
  <si>
    <t>ВСЕГО:</t>
  </si>
  <si>
    <t xml:space="preserve">Сумма расходов на 2016 год </t>
  </si>
  <si>
    <t>Сумма расходов с учетом изменений</t>
  </si>
  <si>
    <t>изменение (+,-)</t>
  </si>
  <si>
    <t>изменнеие (+,-)</t>
  </si>
  <si>
    <t>изменение           (+,-)</t>
  </si>
  <si>
    <t xml:space="preserve">Сумма расходов на 2017 год </t>
  </si>
  <si>
    <t>мрот</t>
  </si>
  <si>
    <t>Сумма расходов на 2016 год</t>
  </si>
  <si>
    <t>07100S4560</t>
  </si>
  <si>
    <t>0710074560</t>
  </si>
  <si>
    <t>0710085500</t>
  </si>
  <si>
    <t>0720085500</t>
  </si>
  <si>
    <t>0710085760</t>
  </si>
  <si>
    <t>0710085520</t>
  </si>
  <si>
    <t>0710010210</t>
  </si>
  <si>
    <t>изменения (+,-)</t>
  </si>
  <si>
    <t>КВР</t>
  </si>
  <si>
    <t>244</t>
  </si>
  <si>
    <t>111</t>
  </si>
  <si>
    <t>119</t>
  </si>
  <si>
    <t>Код цели</t>
  </si>
  <si>
    <t>350</t>
  </si>
  <si>
    <t>Заработная плата (отряд Главы)</t>
  </si>
  <si>
    <t>Начисления на выплаты по оплате труда (отряд Главы)</t>
  </si>
  <si>
    <t xml:space="preserve">Сумма расходов на 2016 год с учетом </t>
  </si>
  <si>
    <t>Присуждение и вручение молодежной премии Главы города молодым талантам (премия)</t>
  </si>
  <si>
    <t xml:space="preserve"> </t>
  </si>
  <si>
    <t>Изменения            ( +,- )</t>
  </si>
  <si>
    <t>Организация отдыха в природных условиях подростков военно-спортивного (палаточного) лагеря "ЮНАРМЕЕЦ"</t>
  </si>
  <si>
    <t xml:space="preserve">Сумма расходов на 2020 год </t>
  </si>
  <si>
    <t>Заработная плата (отряд Молодежь в 21 веке)</t>
  </si>
  <si>
    <t>Начисления на выплаты по оплате труда (отряд Молодежь в 21 веке)</t>
  </si>
  <si>
    <t>КОСГУ</t>
  </si>
  <si>
    <t>Изменение бюджетных ассигнований</t>
  </si>
  <si>
    <t>(Изменения +,-)</t>
  </si>
  <si>
    <t xml:space="preserve">Сумма расходов на год 2015 с изменением </t>
  </si>
  <si>
    <t>Сумма расходов на год 2017</t>
  </si>
  <si>
    <t xml:space="preserve">Сумма расходов на год 2017 с учетом изменений </t>
  </si>
  <si>
    <t>Увеличение стоимости основных средств</t>
  </si>
  <si>
    <t>Всего</t>
  </si>
  <si>
    <t xml:space="preserve">Сумма расходов на 2021 год </t>
  </si>
  <si>
    <t>0730088720</t>
  </si>
  <si>
    <t>211</t>
  </si>
  <si>
    <t>213</t>
  </si>
  <si>
    <t>222</t>
  </si>
  <si>
    <t>225</t>
  </si>
  <si>
    <t>226</t>
  </si>
  <si>
    <t>346</t>
  </si>
  <si>
    <t>349</t>
  </si>
  <si>
    <t>Соц. пособия и компенсации персоналу в денежной форме</t>
  </si>
  <si>
    <t>0707</t>
  </si>
  <si>
    <t>Итого:</t>
  </si>
  <si>
    <t>Медикаменты</t>
  </si>
  <si>
    <t>Продукты питания</t>
  </si>
  <si>
    <t>Увеличение стоимости мягкого инвентаря</t>
  </si>
  <si>
    <t>РАСШИФРОВКА                                                                                                                                                                                                                               Субсидии на цели, не связанные с финансовым обеспечением                                                                                                                                                      муниципального задания МБУ МЦ "ИМА"</t>
  </si>
  <si>
    <t>Иные расходы</t>
  </si>
  <si>
    <t>Страхование</t>
  </si>
  <si>
    <t>Сумма расходов на год 2020</t>
  </si>
  <si>
    <t>Экономист: Мустафина А.Р.______________</t>
  </si>
  <si>
    <t>266</t>
  </si>
  <si>
    <t>244, 349</t>
  </si>
  <si>
    <t>Увеличение стоимости материальных запасов (приобретение расходных материалов)</t>
  </si>
  <si>
    <t>Увеличение стоимости материальных запасов (приобретение призов)</t>
  </si>
  <si>
    <t>0710089130</t>
  </si>
  <si>
    <t xml:space="preserve">Сумма расходов на 2022 год </t>
  </si>
  <si>
    <t>Сумма расходов на год 2022</t>
  </si>
  <si>
    <t>общая 244</t>
  </si>
  <si>
    <t>247</t>
  </si>
  <si>
    <t xml:space="preserve">223 общая </t>
  </si>
  <si>
    <t xml:space="preserve">на закупку по 44 фз </t>
  </si>
  <si>
    <t>071E876620</t>
  </si>
  <si>
    <t>Антиковидные мероприятия</t>
  </si>
  <si>
    <t xml:space="preserve">  Расшифровка бюджета на 2022 год                                                                                                                                                                                 к Соглашению о порядке и условиях предоставления субсидии на финансовое обеспечение выполнения муниципального задания на оказание муниципальных услуг МБУ МЦ "ИМА"</t>
  </si>
  <si>
    <t>Участие в ТИМ "Юниор"</t>
  </si>
  <si>
    <t>Участие в ТИМ "Бирюса"</t>
  </si>
  <si>
    <t>Участие в краевом инфраструктурном проекте "Новый фарватер"</t>
  </si>
  <si>
    <t>Участие в краевой лиге КВН</t>
  </si>
  <si>
    <t>Услуга автотранспорта для перевозки аппаратуры и мебели для проведения выездных мероприятий</t>
  </si>
  <si>
    <t>Участие в центре допризывной подготовки "Юнармия"</t>
  </si>
  <si>
    <t>Участие в общекраевых мероприятиях</t>
  </si>
  <si>
    <t>Мероприятие "Мы - юные граждане России!"</t>
  </si>
  <si>
    <t>Мероприятие "Елкинг"</t>
  </si>
  <si>
    <t xml:space="preserve">Форум "Развитие" </t>
  </si>
  <si>
    <t>Мероприятие "Весенний квартирник"</t>
  </si>
  <si>
    <t>Мероприятие "Детствопарк"</t>
  </si>
  <si>
    <t>Организация трудового лета для подростков в рамках ФП "Мы развиваем"</t>
  </si>
  <si>
    <t>Мероприятие "Фестиваль "Мамофест"</t>
  </si>
  <si>
    <t>Открытие трудового лета</t>
  </si>
  <si>
    <t>Сувенирная продукция РДШ</t>
  </si>
  <si>
    <t>Фестиваль молодежного творчества "Арт-квадрат"</t>
  </si>
  <si>
    <t>Сетевая акция "Танцуем вместе"</t>
  </si>
  <si>
    <t>Мероприятие "Лидер года"</t>
  </si>
  <si>
    <t>Вручение молодежной премии Главы города</t>
  </si>
  <si>
    <t>Онлайн-фотоконкурс</t>
  </si>
  <si>
    <t>Мероприятие "Ледовое шоу"</t>
  </si>
  <si>
    <t>Турнир по стритболу</t>
  </si>
  <si>
    <t>Телефонная связь</t>
  </si>
  <si>
    <t>Интернет</t>
  </si>
  <si>
    <t>Поставка тепловой энергии (горячая вода)</t>
  </si>
  <si>
    <t>Вывоз ТКО</t>
  </si>
  <si>
    <t xml:space="preserve">Поставка тепловой энергии </t>
  </si>
  <si>
    <t>Электроэнергия</t>
  </si>
  <si>
    <t>Техобслуживание инженерных сетей (опрессовка и промывка отопления)</t>
  </si>
  <si>
    <t>Обслуживание пожарной сигнализации</t>
  </si>
  <si>
    <t>Обслуживание теплового прибора учета</t>
  </si>
  <si>
    <t>Заправка картриджей</t>
  </si>
  <si>
    <t>Медицинский осмотр</t>
  </si>
  <si>
    <t>Участие в зональном этапе военно-патриотической игры "Сибирский щит"</t>
  </si>
  <si>
    <t>Проведение военно-полевых сборов "Школа мужества"</t>
  </si>
  <si>
    <t>Оплата услуг инструкторов</t>
  </si>
  <si>
    <t>Проведение мунииципального этапа военно-патриотической игры "Сибирский щит"</t>
  </si>
  <si>
    <t>Соревнования по стрельбе среди ВПК и юнармейцев</t>
  </si>
  <si>
    <t>Соревнования по биатлону среди ВПК</t>
  </si>
  <si>
    <t>Турнир по лазертагу</t>
  </si>
  <si>
    <t>РАСШИФРОВКА                                                                                                                                                                                                                               Поступления от иной приносящей доход деятельности МБУ МЦ "ИМА"</t>
  </si>
  <si>
    <t>ТЕКУЩИЕ ПОСТУПЛЕНИЯ</t>
  </si>
  <si>
    <t xml:space="preserve">Сумма расходов на 2018 год </t>
  </si>
  <si>
    <t>Остаток на 01.01.2019</t>
  </si>
  <si>
    <t xml:space="preserve">Сумма расходов на 2019 год </t>
  </si>
  <si>
    <t>код цели</t>
  </si>
  <si>
    <t xml:space="preserve">Наименование расходов </t>
  </si>
  <si>
    <t>Увеличены</t>
  </si>
  <si>
    <t>Уменьшены</t>
  </si>
  <si>
    <t>Сумма расходов</t>
  </si>
  <si>
    <t>Изменения бюджетных ассигнований</t>
  </si>
  <si>
    <t xml:space="preserve">Сумма расходов на 2015 год </t>
  </si>
  <si>
    <t>бюджетные</t>
  </si>
  <si>
    <t>на год с учетом</t>
  </si>
  <si>
    <t>03350000000710001</t>
  </si>
  <si>
    <t>Услуга автотранспорта для командировок сотрудников</t>
  </si>
  <si>
    <t xml:space="preserve">Хозяйственные товары </t>
  </si>
  <si>
    <t>остаток</t>
  </si>
  <si>
    <t>(+113)</t>
  </si>
  <si>
    <t>03350000000710011</t>
  </si>
  <si>
    <t>150</t>
  </si>
  <si>
    <t>ЮНИПРО</t>
  </si>
  <si>
    <t>Бесконтактный термометр</t>
  </si>
  <si>
    <t>Форма</t>
  </si>
  <si>
    <t>Хозяйственные товары</t>
  </si>
  <si>
    <t>Хлоргексидин</t>
  </si>
  <si>
    <t>Маска одноразовая</t>
  </si>
  <si>
    <t>Бумага офисная (3 уп.*230,00)</t>
  </si>
  <si>
    <t>Мультифора (1 уп.*180,00)</t>
  </si>
  <si>
    <t>Папка-регистр (3 шт.*170,00)</t>
  </si>
  <si>
    <t>Картридж (1 шт.*1109,91)</t>
  </si>
  <si>
    <t>Фотобумага (1уп*800,00)</t>
  </si>
  <si>
    <t>Мусорные мешки (40 уп.*200,00)</t>
  </si>
  <si>
    <t>Перчатки х/б (50 шт.*30,00)</t>
  </si>
  <si>
    <t>Увеличение стоимости прочих материальных запасов однократного применения</t>
  </si>
  <si>
    <t>Трудовая книжка (54 шт.*300,00)</t>
  </si>
  <si>
    <t>03350000000710012</t>
  </si>
  <si>
    <t>Хозяйственные товары (Инвентарь)</t>
  </si>
  <si>
    <t>Краска фасадная (10 шт.*840,00)</t>
  </si>
  <si>
    <t>Перчатки х/б (100 шт.*30,00)</t>
  </si>
  <si>
    <t>Мешки мусорные (30 уп.*150,00)</t>
  </si>
  <si>
    <t>Метла хозяйственая (5 шт.* 350,00)</t>
  </si>
  <si>
    <t>Лопата штыковая (5 шт.*350,00)</t>
  </si>
  <si>
    <t>Лопата подборочная (2 шт.*300,00)</t>
  </si>
  <si>
    <t>Открытие нового трудового сезона</t>
  </si>
  <si>
    <t>-Одноразовая маска</t>
  </si>
  <si>
    <t>-Фотобумага</t>
  </si>
  <si>
    <t>-Фоторамка</t>
  </si>
  <si>
    <t>-Ежедневник</t>
  </si>
  <si>
    <t>-Мультифора</t>
  </si>
  <si>
    <t>130</t>
  </si>
  <si>
    <t>Оплата электроэнергии</t>
  </si>
  <si>
    <t>Холодное водоснабжение</t>
  </si>
  <si>
    <t>03350007070710015</t>
  </si>
  <si>
    <t>общ. 244</t>
  </si>
  <si>
    <t>Техническое обслуживание автоматической пожарной безопасности</t>
  </si>
  <si>
    <t>общ247</t>
  </si>
  <si>
    <t>ИТОГО по КЦСР</t>
  </si>
  <si>
    <t>ВСЕГО</t>
  </si>
  <si>
    <t>Согласовано: Маслова И.Б.</t>
  </si>
  <si>
    <t>_____________</t>
  </si>
  <si>
    <t>Остаток на 01.01.2022 год</t>
  </si>
  <si>
    <t>Перекачка и очистка сточных вод (водоотведение)</t>
  </si>
  <si>
    <t>Согласовано: Маслова И.Б._____________</t>
  </si>
  <si>
    <t>ъ</t>
  </si>
  <si>
    <t>общая фз44</t>
  </si>
  <si>
    <t>(21 870,81)</t>
  </si>
  <si>
    <t xml:space="preserve"> пени с кровли</t>
  </si>
  <si>
    <t>Согласовано: Маслова И.Б.______________</t>
  </si>
  <si>
    <t>Участие в краевых мероприятиях сферы молодежной политики</t>
  </si>
  <si>
    <t>Замена дверей</t>
  </si>
  <si>
    <t>Повышение квалификации сотрудников</t>
  </si>
  <si>
    <t>Приобретение расходных материалов для проведения мероприятий</t>
  </si>
  <si>
    <t>Приобретение призов для проведения мероприятий</t>
  </si>
  <si>
    <t>Оказание услуг при проведении мероприятий</t>
  </si>
  <si>
    <t>Проведение дня молодежи</t>
  </si>
  <si>
    <t>Антисептик для рук</t>
  </si>
  <si>
    <t>Маска рдноразовая</t>
  </si>
  <si>
    <t>Дезинфицирующее средство</t>
  </si>
  <si>
    <t>Замена дверей и окон</t>
  </si>
  <si>
    <t>Участие в краевых мероприятиях</t>
  </si>
  <si>
    <t>Оплата услуг эксперта</t>
  </si>
  <si>
    <t>Приобретение мебели</t>
  </si>
  <si>
    <t>Д. КР 36</t>
  </si>
  <si>
    <t>Д. КР 30</t>
  </si>
  <si>
    <t>Д. КР. 30</t>
  </si>
  <si>
    <t>0710010490</t>
  </si>
  <si>
    <t>Изменения (+/-)</t>
  </si>
  <si>
    <t>Сумма расходов на 2022 год (с учетом изменений)</t>
  </si>
  <si>
    <t>0710010500</t>
  </si>
  <si>
    <t>-Портативная колонка</t>
  </si>
  <si>
    <t>-Игровой набор</t>
  </si>
  <si>
    <t>-Пневматические пули</t>
  </si>
  <si>
    <t>-Бумага писчая</t>
  </si>
  <si>
    <t>-Баннер</t>
  </si>
  <si>
    <t>-Ролик гимнастический</t>
  </si>
  <si>
    <t>-Шахматы</t>
  </si>
  <si>
    <t>-USB-накопитель</t>
  </si>
  <si>
    <t>Оплата услуг охраны (тревожная кнопка)</t>
  </si>
  <si>
    <t>Участие в мероприятиях начальника Главного штаба движения "Юнармия"</t>
  </si>
  <si>
    <t>-Светодиодная лента</t>
  </si>
  <si>
    <t>-Скотч</t>
  </si>
  <si>
    <t>-Значки с логотипом РДШ</t>
  </si>
  <si>
    <t>Сумма остатка на 01.01.2022 год (с учетом изменений)</t>
  </si>
  <si>
    <t>Сумма расходов на 2022 год (план)</t>
  </si>
  <si>
    <t>Сумма расходов на 2022 год план (с учетом изменений)</t>
  </si>
  <si>
    <t>Общая сумма расходов на 2022 год</t>
  </si>
  <si>
    <t>Организация кофе-паузы на торжественном открытии молодежной столицы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</si>
</sst>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00"/>
    <numFmt numFmtId="166" formatCode="0.000"/>
    <numFmt numFmtId="167" formatCode="#,##0.000"/>
  </numFmts>
  <fonts count="36">
    <font>
      <sz val="8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MS Sans Serif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A0A0A"/>
      <name val="Times New Roman"/>
      <family val="1"/>
      <charset val="204"/>
    </font>
    <font>
      <b/>
      <sz val="8"/>
      <name val="Arial Cyr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9">
    <xf numFmtId="0" fontId="0" fillId="0" borderId="0" xfId="0"/>
    <xf numFmtId="0" fontId="2" fillId="0" borderId="0" xfId="0" applyFont="1" applyFill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vertical="top" wrapText="1"/>
    </xf>
    <xf numFmtId="0" fontId="5" fillId="0" borderId="1" xfId="0" applyFont="1" applyBorder="1"/>
    <xf numFmtId="0" fontId="5" fillId="0" borderId="4" xfId="0" applyFont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 applyBorder="1" applyAlignment="1">
      <alignment vertical="top" wrapText="1"/>
    </xf>
    <xf numFmtId="4" fontId="5" fillId="0" borderId="0" xfId="0" applyNumberFormat="1" applyFont="1"/>
    <xf numFmtId="0" fontId="7" fillId="0" borderId="0" xfId="0" applyFont="1" applyBorder="1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Border="1" applyAlignment="1"/>
    <xf numFmtId="4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2" borderId="10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4" fontId="11" fillId="2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4" fontId="20" fillId="0" borderId="13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6" fillId="2" borderId="10" xfId="0" applyFont="1" applyFill="1" applyBorder="1" applyAlignment="1">
      <alignment horizontal="center" vertical="top" wrapText="1"/>
    </xf>
    <xf numFmtId="4" fontId="18" fillId="0" borderId="2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vertical="center"/>
    </xf>
    <xf numFmtId="4" fontId="16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9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right"/>
    </xf>
    <xf numFmtId="164" fontId="9" fillId="0" borderId="1" xfId="1" applyFont="1" applyFill="1" applyBorder="1" applyAlignment="1">
      <alignment horizontal="right"/>
    </xf>
    <xf numFmtId="4" fontId="9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/>
    </xf>
    <xf numFmtId="4" fontId="9" fillId="0" borderId="1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9" fillId="0" borderId="0" xfId="1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wrapText="1"/>
    </xf>
    <xf numFmtId="1" fontId="8" fillId="0" borderId="8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wrapText="1"/>
    </xf>
    <xf numFmtId="2" fontId="8" fillId="0" borderId="1" xfId="0" applyNumberFormat="1" applyFont="1" applyFill="1" applyBorder="1" applyAlignment="1">
      <alignment horizontal="center"/>
    </xf>
    <xf numFmtId="4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wrapText="1"/>
    </xf>
    <xf numFmtId="164" fontId="9" fillId="4" borderId="1" xfId="1" applyFont="1" applyFill="1" applyBorder="1" applyAlignment="1">
      <alignment horizontal="right"/>
    </xf>
    <xf numFmtId="4" fontId="9" fillId="4" borderId="1" xfId="1" applyNumberFormat="1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top" wrapText="1"/>
    </xf>
    <xf numFmtId="4" fontId="8" fillId="0" borderId="0" xfId="1" applyNumberFormat="1" applyFont="1" applyFill="1" applyBorder="1" applyAlignment="1">
      <alignment horizontal="left"/>
    </xf>
    <xf numFmtId="0" fontId="9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4" fontId="22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4" fontId="8" fillId="3" borderId="3" xfId="1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8" fillId="7" borderId="1" xfId="1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2" fontId="8" fillId="3" borderId="1" xfId="0" applyNumberFormat="1" applyFont="1" applyFill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0" fontId="8" fillId="3" borderId="3" xfId="0" applyFont="1" applyFill="1" applyBorder="1" applyAlignment="1">
      <alignment horizontal="justify" wrapText="1"/>
    </xf>
    <xf numFmtId="4" fontId="10" fillId="3" borderId="1" xfId="1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right"/>
    </xf>
    <xf numFmtId="4" fontId="8" fillId="3" borderId="1" xfId="1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164" fontId="9" fillId="3" borderId="1" xfId="1" applyFont="1" applyFill="1" applyBorder="1" applyAlignment="1">
      <alignment horizontal="right"/>
    </xf>
    <xf numFmtId="4" fontId="9" fillId="3" borderId="1" xfId="1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 wrapText="1"/>
    </xf>
    <xf numFmtId="49" fontId="8" fillId="3" borderId="3" xfId="0" applyNumberFormat="1" applyFont="1" applyFill="1" applyBorder="1" applyAlignment="1">
      <alignment horizontal="center" wrapText="1"/>
    </xf>
    <xf numFmtId="4" fontId="8" fillId="3" borderId="0" xfId="0" applyNumberFormat="1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4" fontId="12" fillId="3" borderId="1" xfId="1" applyNumberFormat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justify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8" borderId="3" xfId="1" applyNumberFormat="1" applyFont="1" applyFill="1" applyBorder="1" applyAlignment="1">
      <alignment horizontal="center" vertical="center" wrapText="1"/>
    </xf>
    <xf numFmtId="4" fontId="10" fillId="8" borderId="3" xfId="0" applyNumberFormat="1" applyFont="1" applyFill="1" applyBorder="1" applyAlignment="1">
      <alignment horizontal="center" vertical="center" wrapText="1"/>
    </xf>
    <xf numFmtId="49" fontId="8" fillId="8" borderId="3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14" fontId="8" fillId="0" borderId="0" xfId="0" applyNumberFormat="1" applyFont="1" applyFill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vertical="center" wrapText="1"/>
    </xf>
    <xf numFmtId="4" fontId="23" fillId="3" borderId="1" xfId="1" applyNumberFormat="1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vertical="center"/>
    </xf>
    <xf numFmtId="0" fontId="24" fillId="3" borderId="0" xfId="0" applyFont="1" applyFill="1"/>
    <xf numFmtId="0" fontId="8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wrapText="1"/>
    </xf>
    <xf numFmtId="4" fontId="10" fillId="3" borderId="15" xfId="1" applyNumberFormat="1" applyFont="1" applyFill="1" applyBorder="1" applyAlignment="1">
      <alignment horizontal="center" vertical="center" wrapText="1"/>
    </xf>
    <xf numFmtId="4" fontId="10" fillId="3" borderId="15" xfId="0" applyNumberFormat="1" applyFont="1" applyFill="1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6" fontId="8" fillId="0" borderId="0" xfId="0" applyNumberFormat="1" applyFont="1" applyFill="1" applyAlignment="1">
      <alignment horizontal="center" vertical="center" wrapText="1"/>
    </xf>
    <xf numFmtId="166" fontId="9" fillId="0" borderId="0" xfId="0" applyNumberFormat="1" applyFont="1" applyFill="1" applyAlignment="1">
      <alignment horizontal="center" vertical="center" wrapText="1"/>
    </xf>
    <xf numFmtId="167" fontId="8" fillId="0" borderId="0" xfId="0" applyNumberFormat="1" applyFont="1" applyFill="1" applyAlignment="1">
      <alignment horizontal="center" vertical="center" wrapText="1"/>
    </xf>
    <xf numFmtId="167" fontId="9" fillId="0" borderId="0" xfId="0" applyNumberFormat="1" applyFont="1" applyFill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/>
    </xf>
    <xf numFmtId="14" fontId="8" fillId="0" borderId="0" xfId="0" applyNumberFormat="1" applyFont="1" applyFill="1" applyAlignment="1">
      <alignment horizontal="center" vertical="center"/>
    </xf>
    <xf numFmtId="0" fontId="8" fillId="7" borderId="1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horizontal="left" wrapText="1"/>
    </xf>
    <xf numFmtId="49" fontId="8" fillId="4" borderId="7" xfId="0" applyNumberFormat="1" applyFont="1" applyFill="1" applyBorder="1" applyAlignment="1">
      <alignment horizontal="left" wrapText="1"/>
    </xf>
    <xf numFmtId="49" fontId="8" fillId="4" borderId="12" xfId="0" applyNumberFormat="1" applyFont="1" applyFill="1" applyBorder="1" applyAlignment="1">
      <alignment horizontal="left" wrapText="1"/>
    </xf>
    <xf numFmtId="4" fontId="8" fillId="4" borderId="3" xfId="1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4" fontId="10" fillId="3" borderId="2" xfId="1" applyNumberFormat="1" applyFont="1" applyFill="1" applyBorder="1" applyAlignment="1">
      <alignment horizontal="center" vertical="center" wrapText="1"/>
    </xf>
    <xf numFmtId="4" fontId="9" fillId="3" borderId="2" xfId="1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4" fontId="27" fillId="3" borderId="1" xfId="1" applyNumberFormat="1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4" fontId="2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vertical="center" wrapText="1"/>
    </xf>
    <xf numFmtId="4" fontId="28" fillId="3" borderId="1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wrapText="1"/>
    </xf>
    <xf numFmtId="2" fontId="29" fillId="3" borderId="1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justify" wrapText="1"/>
    </xf>
    <xf numFmtId="4" fontId="8" fillId="4" borderId="6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0" xfId="0" applyFont="1" applyFill="1"/>
    <xf numFmtId="0" fontId="30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/>
    </xf>
    <xf numFmtId="4" fontId="3" fillId="0" borderId="18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4" fontId="30" fillId="0" borderId="0" xfId="0" applyNumberFormat="1" applyFont="1" applyFill="1"/>
    <xf numFmtId="0" fontId="30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4" fontId="30" fillId="0" borderId="1" xfId="1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 wrapText="1"/>
    </xf>
    <xf numFmtId="4" fontId="30" fillId="0" borderId="1" xfId="1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/>
    </xf>
    <xf numFmtId="49" fontId="30" fillId="0" borderId="1" xfId="0" applyNumberFormat="1" applyFont="1" applyFill="1" applyBorder="1" applyAlignment="1">
      <alignment horizontal="center" vertical="center"/>
    </xf>
    <xf numFmtId="4" fontId="30" fillId="3" borderId="1" xfId="0" applyNumberFormat="1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0" fontId="30" fillId="3" borderId="1" xfId="0" applyFont="1" applyFill="1" applyBorder="1" applyAlignment="1">
      <alignment horizontal="left" vertical="center" wrapText="1"/>
    </xf>
    <xf numFmtId="4" fontId="30" fillId="3" borderId="1" xfId="1" applyNumberFormat="1" applyFont="1" applyFill="1" applyBorder="1" applyAlignment="1">
      <alignment horizontal="center"/>
    </xf>
    <xf numFmtId="0" fontId="30" fillId="3" borderId="1" xfId="0" applyFont="1" applyFill="1" applyBorder="1" applyAlignment="1">
      <alignment horizontal="center" wrapText="1"/>
    </xf>
    <xf numFmtId="4" fontId="30" fillId="3" borderId="1" xfId="1" applyNumberFormat="1" applyFont="1" applyFill="1" applyBorder="1" applyAlignment="1">
      <alignment horizontal="center" vertical="center"/>
    </xf>
    <xf numFmtId="4" fontId="30" fillId="3" borderId="1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 vertical="center"/>
    </xf>
    <xf numFmtId="49" fontId="30" fillId="3" borderId="1" xfId="0" applyNumberFormat="1" applyFont="1" applyFill="1" applyBorder="1" applyAlignment="1">
      <alignment horizontal="center" vertical="center"/>
    </xf>
    <xf numFmtId="49" fontId="30" fillId="0" borderId="20" xfId="0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left" vertical="center" wrapText="1"/>
    </xf>
    <xf numFmtId="4" fontId="30" fillId="5" borderId="1" xfId="1" applyNumberFormat="1" applyFont="1" applyFill="1" applyBorder="1" applyAlignment="1">
      <alignment horizontal="center"/>
    </xf>
    <xf numFmtId="0" fontId="30" fillId="5" borderId="1" xfId="0" applyFont="1" applyFill="1" applyBorder="1" applyAlignment="1">
      <alignment horizontal="center" wrapText="1"/>
    </xf>
    <xf numFmtId="4" fontId="30" fillId="5" borderId="1" xfId="1" applyNumberFormat="1" applyFont="1" applyFill="1" applyBorder="1" applyAlignment="1">
      <alignment horizontal="center" vertical="center"/>
    </xf>
    <xf numFmtId="4" fontId="30" fillId="5" borderId="1" xfId="0" applyNumberFormat="1" applyFont="1" applyFill="1" applyBorder="1" applyAlignment="1">
      <alignment horizontal="center" vertical="center"/>
    </xf>
    <xf numFmtId="4" fontId="30" fillId="5" borderId="1" xfId="0" applyNumberFormat="1" applyFont="1" applyFill="1" applyBorder="1" applyAlignment="1">
      <alignment horizontal="center"/>
    </xf>
    <xf numFmtId="4" fontId="3" fillId="5" borderId="1" xfId="0" applyNumberFormat="1" applyFont="1" applyFill="1" applyBorder="1" applyAlignment="1">
      <alignment horizontal="center" vertical="center"/>
    </xf>
    <xf numFmtId="49" fontId="30" fillId="5" borderId="1" xfId="0" applyNumberFormat="1" applyFont="1" applyFill="1" applyBorder="1" applyAlignment="1">
      <alignment horizontal="center" vertical="center"/>
    </xf>
    <xf numFmtId="49" fontId="8" fillId="3" borderId="20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1" applyFont="1" applyFill="1" applyBorder="1"/>
    <xf numFmtId="4" fontId="3" fillId="3" borderId="1" xfId="1" applyNumberFormat="1" applyFont="1" applyFill="1" applyBorder="1" applyAlignment="1">
      <alignment horizontal="center"/>
    </xf>
    <xf numFmtId="4" fontId="3" fillId="3" borderId="1" xfId="1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49" fontId="3" fillId="0" borderId="0" xfId="0" applyNumberFormat="1" applyFont="1" applyFill="1" applyBorder="1"/>
    <xf numFmtId="0" fontId="3" fillId="0" borderId="0" xfId="0" applyFont="1" applyFill="1" applyBorder="1"/>
    <xf numFmtId="49" fontId="30" fillId="3" borderId="20" xfId="0" applyNumberFormat="1" applyFont="1" applyFill="1" applyBorder="1" applyAlignment="1">
      <alignment horizontal="center" vertical="center" wrapText="1"/>
    </xf>
    <xf numFmtId="0" fontId="30" fillId="3" borderId="2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24" fillId="3" borderId="0" xfId="0" applyFont="1" applyFill="1" applyAlignment="1">
      <alignment vertical="distributed"/>
    </xf>
    <xf numFmtId="0" fontId="3" fillId="3" borderId="1" xfId="0" applyFont="1" applyFill="1" applyBorder="1"/>
    <xf numFmtId="0" fontId="3" fillId="3" borderId="8" xfId="0" applyFont="1" applyFill="1" applyBorder="1"/>
    <xf numFmtId="0" fontId="3" fillId="3" borderId="2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top" wrapText="1"/>
    </xf>
    <xf numFmtId="4" fontId="34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wrapText="1"/>
    </xf>
    <xf numFmtId="164" fontId="34" fillId="0" borderId="1" xfId="1" applyFont="1" applyFill="1" applyBorder="1"/>
    <xf numFmtId="4" fontId="34" fillId="0" borderId="1" xfId="1" applyNumberFormat="1" applyFont="1" applyFill="1" applyBorder="1" applyAlignment="1">
      <alignment horizontal="center"/>
    </xf>
    <xf numFmtId="4" fontId="34" fillId="0" borderId="1" xfId="1" applyNumberFormat="1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/>
    </xf>
    <xf numFmtId="49" fontId="34" fillId="0" borderId="1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wrapText="1"/>
    </xf>
    <xf numFmtId="164" fontId="3" fillId="5" borderId="1" xfId="1" applyFont="1" applyFill="1" applyBorder="1"/>
    <xf numFmtId="4" fontId="3" fillId="5" borderId="1" xfId="1" applyNumberFormat="1" applyFont="1" applyFill="1" applyBorder="1" applyAlignment="1">
      <alignment horizontal="center"/>
    </xf>
    <xf numFmtId="4" fontId="3" fillId="5" borderId="1" xfId="1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1" applyFont="1" applyFill="1" applyBorder="1"/>
    <xf numFmtId="4" fontId="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0" fillId="0" borderId="20" xfId="0" applyFont="1" applyFill="1" applyBorder="1" applyAlignment="1">
      <alignment horizontal="center" vertical="center" wrapText="1"/>
    </xf>
    <xf numFmtId="164" fontId="30" fillId="0" borderId="1" xfId="1" applyFont="1" applyFill="1" applyBorder="1"/>
    <xf numFmtId="49" fontId="3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/>
    </xf>
    <xf numFmtId="4" fontId="30" fillId="3" borderId="1" xfId="0" applyNumberFormat="1" applyFont="1" applyFill="1" applyBorder="1" applyAlignment="1">
      <alignment horizontal="center" vertical="center" wrapText="1"/>
    </xf>
    <xf numFmtId="164" fontId="30" fillId="3" borderId="1" xfId="1" applyFont="1" applyFill="1" applyBorder="1"/>
    <xf numFmtId="4" fontId="34" fillId="3" borderId="1" xfId="0" applyNumberFormat="1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wrapText="1"/>
    </xf>
    <xf numFmtId="164" fontId="34" fillId="3" borderId="1" xfId="1" applyFont="1" applyFill="1" applyBorder="1"/>
    <xf numFmtId="4" fontId="34" fillId="3" borderId="1" xfId="1" applyNumberFormat="1" applyFont="1" applyFill="1" applyBorder="1" applyAlignment="1">
      <alignment horizontal="center"/>
    </xf>
    <xf numFmtId="4" fontId="34" fillId="3" borderId="1" xfId="1" applyNumberFormat="1" applyFont="1" applyFill="1" applyBorder="1" applyAlignment="1">
      <alignment horizontal="center" vertical="center"/>
    </xf>
    <xf numFmtId="4" fontId="34" fillId="3" borderId="1" xfId="0" applyNumberFormat="1" applyFont="1" applyFill="1" applyBorder="1" applyAlignment="1">
      <alignment horizontal="center" vertical="center"/>
    </xf>
    <xf numFmtId="4" fontId="34" fillId="3" borderId="1" xfId="0" applyNumberFormat="1" applyFont="1" applyFill="1" applyBorder="1" applyAlignment="1">
      <alignment horizontal="center"/>
    </xf>
    <xf numFmtId="49" fontId="34" fillId="3" borderId="1" xfId="0" applyNumberFormat="1" applyFont="1" applyFill="1" applyBorder="1" applyAlignment="1">
      <alignment horizontal="center" vertical="center"/>
    </xf>
    <xf numFmtId="167" fontId="30" fillId="0" borderId="0" xfId="0" applyNumberFormat="1" applyFont="1" applyFill="1"/>
    <xf numFmtId="4" fontId="25" fillId="0" borderId="0" xfId="0" applyNumberFormat="1" applyFont="1" applyFill="1"/>
    <xf numFmtId="167" fontId="3" fillId="0" borderId="0" xfId="0" applyNumberFormat="1" applyFont="1" applyFill="1"/>
    <xf numFmtId="4" fontId="0" fillId="0" borderId="0" xfId="0" applyNumberFormat="1" applyFill="1"/>
    <xf numFmtId="0" fontId="30" fillId="3" borderId="1" xfId="0" applyFont="1" applyFill="1" applyBorder="1" applyAlignment="1">
      <alignment vertical="top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167" fontId="30" fillId="3" borderId="0" xfId="0" applyNumberFormat="1" applyFont="1" applyFill="1"/>
    <xf numFmtId="0" fontId="3" fillId="3" borderId="0" xfId="0" applyFont="1" applyFill="1"/>
    <xf numFmtId="0" fontId="30" fillId="3" borderId="1" xfId="0" applyFont="1" applyFill="1" applyBorder="1" applyAlignment="1">
      <alignment wrapText="1"/>
    </xf>
    <xf numFmtId="4" fontId="30" fillId="3" borderId="0" xfId="0" applyNumberFormat="1" applyFont="1" applyFill="1"/>
    <xf numFmtId="49" fontId="30" fillId="3" borderId="0" xfId="0" applyNumberFormat="1" applyFont="1" applyFill="1" applyBorder="1" applyAlignment="1">
      <alignment horizontal="center" vertical="center" wrapText="1"/>
    </xf>
    <xf numFmtId="0" fontId="30" fillId="3" borderId="0" xfId="0" applyFont="1" applyFill="1" applyBorder="1" applyAlignment="1">
      <alignment vertical="center" wrapText="1"/>
    </xf>
    <xf numFmtId="49" fontId="30" fillId="5" borderId="20" xfId="0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wrapText="1"/>
    </xf>
    <xf numFmtId="164" fontId="3" fillId="5" borderId="22" xfId="1" applyFont="1" applyFill="1" applyBorder="1"/>
    <xf numFmtId="4" fontId="3" fillId="5" borderId="22" xfId="1" applyNumberFormat="1" applyFont="1" applyFill="1" applyBorder="1" applyAlignment="1">
      <alignment horizontal="center"/>
    </xf>
    <xf numFmtId="4" fontId="3" fillId="5" borderId="22" xfId="1" applyNumberFormat="1" applyFont="1" applyFill="1" applyBorder="1" applyAlignment="1">
      <alignment horizontal="center" vertical="center"/>
    </xf>
    <xf numFmtId="4" fontId="3" fillId="5" borderId="22" xfId="0" applyNumberFormat="1" applyFont="1" applyFill="1" applyBorder="1" applyAlignment="1">
      <alignment horizontal="center" vertical="center"/>
    </xf>
    <xf numFmtId="4" fontId="3" fillId="5" borderId="22" xfId="0" applyNumberFormat="1" applyFont="1" applyFill="1" applyBorder="1" applyAlignment="1">
      <alignment horizontal="center"/>
    </xf>
    <xf numFmtId="49" fontId="3" fillId="5" borderId="22" xfId="0" applyNumberFormat="1" applyFont="1" applyFill="1" applyBorder="1" applyAlignment="1">
      <alignment horizontal="center" vertical="center"/>
    </xf>
    <xf numFmtId="4" fontId="30" fillId="5" borderId="22" xfId="0" applyNumberFormat="1" applyFont="1" applyFill="1" applyBorder="1" applyAlignment="1">
      <alignment horizontal="center" vertical="center"/>
    </xf>
    <xf numFmtId="4" fontId="30" fillId="0" borderId="22" xfId="0" applyNumberFormat="1" applyFont="1" applyFill="1" applyBorder="1" applyAlignment="1">
      <alignment horizontal="center" vertical="center"/>
    </xf>
    <xf numFmtId="4" fontId="30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4" fontId="3" fillId="0" borderId="0" xfId="1" applyFont="1" applyFill="1" applyBorder="1"/>
    <xf numFmtId="4" fontId="3" fillId="0" borderId="0" xfId="1" applyNumberFormat="1" applyFont="1" applyFill="1" applyBorder="1" applyAlignment="1">
      <alignment horizontal="center"/>
    </xf>
    <xf numFmtId="4" fontId="3" fillId="0" borderId="0" xfId="1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/>
    </xf>
    <xf numFmtId="0" fontId="30" fillId="9" borderId="0" xfId="0" applyFont="1" applyFill="1"/>
    <xf numFmtId="3" fontId="3" fillId="0" borderId="0" xfId="0" applyNumberFormat="1" applyFont="1" applyFill="1"/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/>
    <xf numFmtId="0" fontId="30" fillId="3" borderId="0" xfId="0" applyFont="1" applyFill="1" applyBorder="1"/>
    <xf numFmtId="4" fontId="9" fillId="4" borderId="0" xfId="0" applyNumberFormat="1" applyFont="1" applyFill="1" applyAlignment="1">
      <alignment horizontal="center" vertical="center" wrapText="1"/>
    </xf>
    <xf numFmtId="49" fontId="3" fillId="3" borderId="0" xfId="0" applyNumberFormat="1" applyFont="1" applyFill="1"/>
    <xf numFmtId="49" fontId="33" fillId="3" borderId="1" xfId="0" applyNumberFormat="1" applyFont="1" applyFill="1" applyBorder="1" applyAlignment="1">
      <alignment horizontal="left" vertical="top" wrapText="1"/>
    </xf>
    <xf numFmtId="4" fontId="30" fillId="0" borderId="0" xfId="0" applyNumberFormat="1" applyFont="1" applyFill="1" applyBorder="1"/>
    <xf numFmtId="49" fontId="30" fillId="0" borderId="0" xfId="0" applyNumberFormat="1" applyFont="1" applyFill="1" applyBorder="1"/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4" fontId="10" fillId="0" borderId="16" xfId="1" applyNumberFormat="1" applyFont="1" applyFill="1" applyBorder="1" applyAlignment="1">
      <alignment horizontal="center" vertical="center" wrapText="1"/>
    </xf>
    <xf numFmtId="4" fontId="9" fillId="0" borderId="16" xfId="1" applyNumberFormat="1" applyFont="1" applyFill="1" applyBorder="1" applyAlignment="1">
      <alignment horizontal="center" vertical="center" wrapText="1"/>
    </xf>
    <xf numFmtId="4" fontId="9" fillId="0" borderId="16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center" vertical="center" wrapText="1"/>
    </xf>
    <xf numFmtId="4" fontId="9" fillId="3" borderId="16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164" fontId="9" fillId="0" borderId="3" xfId="1" applyFont="1" applyFill="1" applyBorder="1" applyAlignment="1">
      <alignment horizontal="right"/>
    </xf>
    <xf numFmtId="4" fontId="9" fillId="0" borderId="3" xfId="1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4" fontId="9" fillId="3" borderId="3" xfId="1" applyNumberFormat="1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wrapText="1"/>
    </xf>
    <xf numFmtId="0" fontId="10" fillId="8" borderId="3" xfId="0" applyFont="1" applyFill="1" applyBorder="1" applyAlignment="1">
      <alignment vertical="center" wrapText="1"/>
    </xf>
    <xf numFmtId="4" fontId="35" fillId="3" borderId="1" xfId="0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9" xfId="0" applyFont="1" applyFill="1" applyBorder="1" applyAlignment="1">
      <alignment horizontal="left" vertical="center" wrapText="1"/>
    </xf>
    <xf numFmtId="0" fontId="8" fillId="7" borderId="8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wrapText="1"/>
    </xf>
    <xf numFmtId="49" fontId="8" fillId="4" borderId="9" xfId="0" applyNumberFormat="1" applyFont="1" applyFill="1" applyBorder="1" applyAlignment="1">
      <alignment horizontal="left" wrapText="1"/>
    </xf>
    <xf numFmtId="49" fontId="8" fillId="4" borderId="8" xfId="0" applyNumberFormat="1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right" wrapText="1"/>
    </xf>
    <xf numFmtId="0" fontId="5" fillId="0" borderId="11" xfId="0" applyFont="1" applyBorder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/>
    </xf>
    <xf numFmtId="0" fontId="7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49" fontId="30" fillId="0" borderId="18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0" fillId="0" borderId="20" xfId="0" applyNumberFormat="1" applyFont="1" applyFill="1" applyBorder="1" applyAlignment="1">
      <alignment horizontal="center" vertical="center" wrapText="1"/>
    </xf>
    <xf numFmtId="0" fontId="30" fillId="5" borderId="20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left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0" fillId="5" borderId="21" xfId="0" applyFont="1" applyFill="1" applyBorder="1" applyAlignment="1">
      <alignment horizontal="center" vertical="center" wrapText="1"/>
    </xf>
    <xf numFmtId="0" fontId="30" fillId="5" borderId="22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left" vertical="center" wrapText="1"/>
    </xf>
    <xf numFmtId="0" fontId="25" fillId="0" borderId="23" xfId="0" applyFont="1" applyBorder="1" applyAlignment="1">
      <alignment horizontal="left"/>
    </xf>
    <xf numFmtId="0" fontId="25" fillId="0" borderId="0" xfId="0" applyFont="1" applyAlignment="1">
      <alignment horizontal="left"/>
    </xf>
    <xf numFmtId="49" fontId="8" fillId="0" borderId="0" xfId="0" applyNumberFormat="1" applyFont="1" applyFill="1" applyAlignment="1">
      <alignment horizontal="left" vertical="center" wrapText="1"/>
    </xf>
    <xf numFmtId="4" fontId="3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8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2" fontId="9" fillId="3" borderId="1" xfId="0" applyNumberFormat="1" applyFont="1" applyFill="1" applyBorder="1" applyAlignment="1">
      <alignment horizontal="center"/>
    </xf>
    <xf numFmtId="0" fontId="8" fillId="3" borderId="3" xfId="0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horizontal="justify" wrapText="1"/>
    </xf>
    <xf numFmtId="0" fontId="9" fillId="3" borderId="3" xfId="0" applyFont="1" applyFill="1" applyBorder="1" applyAlignment="1">
      <alignment vertical="center" wrapText="1"/>
    </xf>
    <xf numFmtId="4" fontId="30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9" fontId="30" fillId="4" borderId="20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30" fillId="4" borderId="1" xfId="0" applyFont="1" applyFill="1" applyBorder="1" applyAlignment="1">
      <alignment horizontal="left" vertical="center" wrapText="1"/>
    </xf>
    <xf numFmtId="4" fontId="30" fillId="4" borderId="1" xfId="1" applyNumberFormat="1" applyFont="1" applyFill="1" applyBorder="1" applyAlignment="1">
      <alignment horizontal="center"/>
    </xf>
    <xf numFmtId="0" fontId="30" fillId="4" borderId="1" xfId="0" applyFont="1" applyFill="1" applyBorder="1" applyAlignment="1">
      <alignment horizontal="center" wrapText="1"/>
    </xf>
    <xf numFmtId="4" fontId="30" fillId="4" borderId="1" xfId="1" applyNumberFormat="1" applyFont="1" applyFill="1" applyBorder="1" applyAlignment="1">
      <alignment horizontal="center" vertical="center"/>
    </xf>
    <xf numFmtId="4" fontId="30" fillId="4" borderId="1" xfId="0" applyNumberFormat="1" applyFont="1" applyFill="1" applyBorder="1" applyAlignment="1">
      <alignment horizontal="center"/>
    </xf>
    <xf numFmtId="49" fontId="30" fillId="4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DDDD"/>
      <color rgb="FFFF99FF"/>
      <color rgb="FFFF7D7D"/>
      <color rgb="FFFF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10"/>
  <sheetViews>
    <sheetView view="pageBreakPreview" topLeftCell="A166" zoomScaleNormal="100" zoomScaleSheetLayoutView="100" workbookViewId="0">
      <selection activeCell="BQ10" sqref="BQ10"/>
    </sheetView>
  </sheetViews>
  <sheetFormatPr defaultRowHeight="12.75"/>
  <cols>
    <col min="1" max="1" width="16.5" style="115" customWidth="1"/>
    <col min="2" max="2" width="10.5" style="206" customWidth="1"/>
    <col min="3" max="3" width="49.6640625" style="86" customWidth="1"/>
    <col min="4" max="4" width="13.83203125" style="95" hidden="1" customWidth="1"/>
    <col min="5" max="5" width="29" style="95" hidden="1" customWidth="1"/>
    <col min="6" max="6" width="17.6640625" style="95" hidden="1" customWidth="1"/>
    <col min="7" max="7" width="14.6640625" style="95" hidden="1" customWidth="1"/>
    <col min="8" max="10" width="15.33203125" style="95" hidden="1" customWidth="1"/>
    <col min="11" max="11" width="13.83203125" style="95" hidden="1" customWidth="1"/>
    <col min="12" max="22" width="13.6640625" style="95" hidden="1" customWidth="1"/>
    <col min="23" max="23" width="12.1640625" style="95" hidden="1" customWidth="1"/>
    <col min="24" max="24" width="13.6640625" style="95" hidden="1" customWidth="1"/>
    <col min="25" max="25" width="11.5" style="95" hidden="1" customWidth="1"/>
    <col min="26" max="26" width="13.6640625" style="95" hidden="1" customWidth="1"/>
    <col min="27" max="27" width="12.83203125" style="95" hidden="1" customWidth="1"/>
    <col min="28" max="29" width="13.6640625" style="95" hidden="1" customWidth="1"/>
    <col min="30" max="30" width="9.6640625" style="111" customWidth="1"/>
    <col min="31" max="52" width="13.33203125" style="95" hidden="1" customWidth="1"/>
    <col min="53" max="53" width="14.33203125" style="95" hidden="1" customWidth="1"/>
    <col min="54" max="54" width="13.33203125" style="95" hidden="1" customWidth="1"/>
    <col min="55" max="60" width="17.6640625" style="95" hidden="1" customWidth="1"/>
    <col min="61" max="61" width="17.6640625" style="215" customWidth="1"/>
    <col min="62" max="63" width="17.6640625" style="95" hidden="1" customWidth="1"/>
    <col min="64" max="65" width="17.6640625" style="215" customWidth="1"/>
    <col min="66" max="66" width="21" style="95" customWidth="1"/>
    <col min="67" max="67" width="15.5" style="95" customWidth="1"/>
    <col min="68" max="68" width="18" style="95" customWidth="1"/>
    <col min="69" max="69" width="15.33203125" style="95" customWidth="1"/>
    <col min="70" max="70" width="19.83203125" style="95" customWidth="1"/>
    <col min="71" max="96" width="9.33203125" style="95"/>
    <col min="97" max="16384" width="9.33203125" style="206"/>
  </cols>
  <sheetData>
    <row r="1" spans="1:109" ht="16.5" customHeight="1">
      <c r="A1" s="475" t="s">
        <v>134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475"/>
      <c r="P1" s="475"/>
      <c r="Q1" s="475"/>
      <c r="R1" s="475"/>
      <c r="S1" s="475"/>
      <c r="T1" s="475"/>
      <c r="U1" s="475"/>
      <c r="V1" s="475"/>
      <c r="W1" s="475"/>
      <c r="X1" s="475"/>
      <c r="Y1" s="475"/>
      <c r="Z1" s="475"/>
      <c r="AA1" s="475"/>
      <c r="AB1" s="475"/>
      <c r="AC1" s="475"/>
      <c r="AD1" s="475"/>
      <c r="AE1" s="475"/>
      <c r="AF1" s="475"/>
      <c r="AG1" s="475"/>
      <c r="AH1" s="475"/>
      <c r="AI1" s="475"/>
      <c r="AJ1" s="475"/>
      <c r="AK1" s="475"/>
      <c r="AL1" s="475"/>
      <c r="AM1" s="475"/>
      <c r="AN1" s="475"/>
      <c r="AO1" s="475"/>
      <c r="AP1" s="475"/>
      <c r="AQ1" s="475"/>
      <c r="AR1" s="475"/>
      <c r="AS1" s="475"/>
      <c r="AT1" s="475"/>
      <c r="AU1" s="475"/>
      <c r="AV1" s="475"/>
      <c r="AW1" s="475"/>
      <c r="AX1" s="475"/>
      <c r="AY1" s="475"/>
      <c r="AZ1" s="475"/>
      <c r="BA1" s="475"/>
      <c r="BB1" s="475"/>
      <c r="BC1" s="475"/>
      <c r="BD1" s="475"/>
      <c r="BE1" s="475"/>
      <c r="BF1" s="475"/>
      <c r="BG1" s="475"/>
      <c r="BH1" s="475"/>
      <c r="BI1" s="475"/>
      <c r="BJ1" s="475"/>
      <c r="BK1" s="475"/>
      <c r="BL1" s="475"/>
      <c r="BM1" s="213">
        <v>44635</v>
      </c>
    </row>
    <row r="2" spans="1:109" ht="37.5" customHeight="1">
      <c r="A2" s="475"/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  <c r="O2" s="475"/>
      <c r="P2" s="475"/>
      <c r="Q2" s="475"/>
      <c r="R2" s="475"/>
      <c r="S2" s="475"/>
      <c r="T2" s="475"/>
      <c r="U2" s="475"/>
      <c r="V2" s="475"/>
      <c r="W2" s="475"/>
      <c r="X2" s="475"/>
      <c r="Y2" s="475"/>
      <c r="Z2" s="475"/>
      <c r="AA2" s="475"/>
      <c r="AB2" s="475"/>
      <c r="AC2" s="475"/>
      <c r="AD2" s="475"/>
      <c r="AE2" s="475"/>
      <c r="AF2" s="475"/>
      <c r="AG2" s="475"/>
      <c r="AH2" s="475"/>
      <c r="AI2" s="475"/>
      <c r="AJ2" s="475"/>
      <c r="AK2" s="475"/>
      <c r="AL2" s="475"/>
      <c r="AM2" s="475"/>
      <c r="AN2" s="475"/>
      <c r="AO2" s="475"/>
      <c r="AP2" s="475"/>
      <c r="AQ2" s="475"/>
      <c r="AR2" s="475"/>
      <c r="AS2" s="475"/>
      <c r="AT2" s="475"/>
      <c r="AU2" s="475"/>
      <c r="AV2" s="475"/>
      <c r="AW2" s="475"/>
      <c r="AX2" s="475"/>
      <c r="AY2" s="475"/>
      <c r="AZ2" s="475"/>
      <c r="BA2" s="475"/>
      <c r="BB2" s="475"/>
      <c r="BC2" s="475"/>
      <c r="BD2" s="475"/>
      <c r="BE2" s="475"/>
      <c r="BF2" s="475"/>
      <c r="BG2" s="475"/>
      <c r="BH2" s="475"/>
      <c r="BI2" s="475"/>
      <c r="BJ2" s="475"/>
      <c r="BK2" s="475"/>
      <c r="BL2" s="475"/>
      <c r="BM2" s="214"/>
    </row>
    <row r="3" spans="1:109" s="99" customFormat="1" ht="75.75" customHeight="1">
      <c r="A3" s="90" t="s">
        <v>0</v>
      </c>
      <c r="B3" s="25" t="s">
        <v>81</v>
      </c>
      <c r="C3" s="25" t="s">
        <v>12</v>
      </c>
      <c r="D3" s="468" t="s">
        <v>57</v>
      </c>
      <c r="E3" s="468" t="s">
        <v>58</v>
      </c>
      <c r="F3" s="468" t="s">
        <v>59</v>
      </c>
      <c r="G3" s="468" t="s">
        <v>48</v>
      </c>
      <c r="H3" s="468" t="s">
        <v>57</v>
      </c>
      <c r="I3" s="468" t="s">
        <v>48</v>
      </c>
      <c r="J3" s="468" t="s">
        <v>57</v>
      </c>
      <c r="K3" s="468" t="s">
        <v>58</v>
      </c>
      <c r="L3" s="468" t="s">
        <v>48</v>
      </c>
      <c r="M3" s="468" t="s">
        <v>48</v>
      </c>
      <c r="N3" s="468" t="s">
        <v>57</v>
      </c>
      <c r="O3" s="468" t="s">
        <v>48</v>
      </c>
      <c r="P3" s="468" t="s">
        <v>57</v>
      </c>
      <c r="Q3" s="468" t="s">
        <v>63</v>
      </c>
      <c r="R3" s="468" t="s">
        <v>57</v>
      </c>
      <c r="S3" s="468" t="s">
        <v>63</v>
      </c>
      <c r="T3" s="468" t="s">
        <v>57</v>
      </c>
      <c r="U3" s="468" t="s">
        <v>63</v>
      </c>
      <c r="V3" s="468" t="s">
        <v>57</v>
      </c>
      <c r="W3" s="468" t="s">
        <v>63</v>
      </c>
      <c r="X3" s="468" t="s">
        <v>57</v>
      </c>
      <c r="Y3" s="468" t="s">
        <v>64</v>
      </c>
      <c r="Z3" s="468" t="s">
        <v>57</v>
      </c>
      <c r="AA3" s="468" t="s">
        <v>65</v>
      </c>
      <c r="AB3" s="468" t="s">
        <v>57</v>
      </c>
      <c r="AC3" s="468" t="s">
        <v>64</v>
      </c>
      <c r="AD3" s="90" t="s">
        <v>77</v>
      </c>
      <c r="AE3" s="468" t="s">
        <v>68</v>
      </c>
      <c r="AF3" s="468" t="s">
        <v>76</v>
      </c>
      <c r="AG3" s="468" t="s">
        <v>61</v>
      </c>
      <c r="AH3" s="468" t="s">
        <v>63</v>
      </c>
      <c r="AI3" s="468" t="s">
        <v>61</v>
      </c>
      <c r="AJ3" s="468" t="s">
        <v>63</v>
      </c>
      <c r="AK3" s="468" t="s">
        <v>85</v>
      </c>
      <c r="AL3" s="468" t="s">
        <v>63</v>
      </c>
      <c r="AM3" s="468" t="s">
        <v>61</v>
      </c>
      <c r="AN3" s="468" t="s">
        <v>63</v>
      </c>
      <c r="AO3" s="468" t="s">
        <v>61</v>
      </c>
      <c r="AP3" s="468" t="s">
        <v>63</v>
      </c>
      <c r="AQ3" s="468" t="s">
        <v>61</v>
      </c>
      <c r="AR3" s="468" t="s">
        <v>63</v>
      </c>
      <c r="AS3" s="468" t="s">
        <v>61</v>
      </c>
      <c r="AT3" s="468" t="s">
        <v>63</v>
      </c>
      <c r="AU3" s="468" t="s">
        <v>61</v>
      </c>
      <c r="AV3" s="468" t="s">
        <v>64</v>
      </c>
      <c r="AW3" s="468" t="s">
        <v>66</v>
      </c>
      <c r="AX3" s="468" t="s">
        <v>88</v>
      </c>
      <c r="AY3" s="468" t="s">
        <v>66</v>
      </c>
      <c r="AZ3" s="468" t="s">
        <v>88</v>
      </c>
      <c r="BA3" s="468" t="s">
        <v>66</v>
      </c>
      <c r="BB3" s="468" t="s">
        <v>88</v>
      </c>
      <c r="BC3" s="468" t="s">
        <v>66</v>
      </c>
      <c r="BD3" s="468" t="s">
        <v>88</v>
      </c>
      <c r="BE3" s="468" t="s">
        <v>66</v>
      </c>
      <c r="BF3" s="468" t="s">
        <v>88</v>
      </c>
      <c r="BG3" s="468" t="s">
        <v>66</v>
      </c>
      <c r="BH3" s="468" t="s">
        <v>88</v>
      </c>
      <c r="BI3" s="113" t="s">
        <v>126</v>
      </c>
      <c r="BJ3" s="468" t="s">
        <v>90</v>
      </c>
      <c r="BK3" s="468" t="s">
        <v>101</v>
      </c>
      <c r="BL3" s="113" t="s">
        <v>263</v>
      </c>
      <c r="BM3" s="113" t="s">
        <v>264</v>
      </c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/>
      <c r="CP3" s="96"/>
      <c r="CQ3" s="96"/>
      <c r="CR3" s="96"/>
    </row>
    <row r="4" spans="1:109" s="99" customFormat="1" ht="22.5" customHeight="1">
      <c r="A4" s="90" t="s">
        <v>75</v>
      </c>
      <c r="B4" s="25">
        <v>211</v>
      </c>
      <c r="C4" s="87" t="s">
        <v>3</v>
      </c>
      <c r="D4" s="100"/>
      <c r="E4" s="100"/>
      <c r="F4" s="100"/>
      <c r="G4" s="468"/>
      <c r="H4" s="468"/>
      <c r="I4" s="468"/>
      <c r="J4" s="468"/>
      <c r="K4" s="100"/>
      <c r="L4" s="100"/>
      <c r="M4" s="100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468"/>
      <c r="AC4" s="468"/>
      <c r="AD4" s="90" t="s">
        <v>79</v>
      </c>
      <c r="AE4" s="468">
        <v>420314.88</v>
      </c>
      <c r="AF4" s="468"/>
      <c r="AG4" s="468">
        <f t="shared" ref="AG4:AG5" si="0">AE4+AF4</f>
        <v>420314.88</v>
      </c>
      <c r="AH4" s="468"/>
      <c r="AI4" s="468">
        <f t="shared" ref="AI4:AI5" si="1">AG4+AH4</f>
        <v>420314.88</v>
      </c>
      <c r="AJ4" s="468"/>
      <c r="AK4" s="468">
        <f t="shared" ref="AK4:AK5" si="2">AI4+AJ4</f>
        <v>420314.88</v>
      </c>
      <c r="AL4" s="468"/>
      <c r="AM4" s="468">
        <f t="shared" ref="AM4:AM5" si="3">AK4+AL4</f>
        <v>420314.88</v>
      </c>
      <c r="AN4" s="468"/>
      <c r="AO4" s="468">
        <f t="shared" ref="AO4:AO5" si="4">AM4+AN4</f>
        <v>420314.88</v>
      </c>
      <c r="AP4" s="468"/>
      <c r="AQ4" s="468">
        <f t="shared" ref="AQ4:AQ5" si="5">AO4+AP4</f>
        <v>420314.88</v>
      </c>
      <c r="AR4" s="468"/>
      <c r="AS4" s="468">
        <f t="shared" ref="AS4:AS5" si="6">AQ4+AR4</f>
        <v>420314.88</v>
      </c>
      <c r="AT4" s="468"/>
      <c r="AU4" s="468">
        <f t="shared" ref="AU4:AU5" si="7">AS4+AT4</f>
        <v>420314.88</v>
      </c>
      <c r="AV4" s="468"/>
      <c r="AW4" s="114">
        <f>414271.68-8.78</f>
        <v>414262.89999999997</v>
      </c>
      <c r="AX4" s="114"/>
      <c r="AY4" s="113">
        <f t="shared" ref="AY4:AY7" si="8">AX4+AW4</f>
        <v>414262.89999999997</v>
      </c>
      <c r="AZ4" s="113"/>
      <c r="BA4" s="113">
        <f>AZ4+AY4</f>
        <v>414262.89999999997</v>
      </c>
      <c r="BB4" s="113"/>
      <c r="BC4" s="113">
        <f>BB4+BA4</f>
        <v>414262.89999999997</v>
      </c>
      <c r="BD4" s="113"/>
      <c r="BE4" s="113">
        <f>BC4+BD4</f>
        <v>414262.89999999997</v>
      </c>
      <c r="BF4" s="113"/>
      <c r="BG4" s="113">
        <f>BE4+BF4</f>
        <v>414262.89999999997</v>
      </c>
      <c r="BH4" s="113"/>
      <c r="BI4" s="128">
        <v>835154.38</v>
      </c>
      <c r="BJ4" s="128">
        <v>983082.63</v>
      </c>
      <c r="BK4" s="128">
        <v>983082.63</v>
      </c>
      <c r="BL4" s="128">
        <v>0</v>
      </c>
      <c r="BM4" s="128">
        <f>BI4+BL4</f>
        <v>835154.38</v>
      </c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</row>
    <row r="5" spans="1:109" s="99" customFormat="1" ht="16.5" customHeight="1">
      <c r="A5" s="25" t="s">
        <v>67</v>
      </c>
      <c r="B5" s="25">
        <v>213</v>
      </c>
      <c r="C5" s="87" t="s">
        <v>4</v>
      </c>
      <c r="D5" s="100"/>
      <c r="E5" s="100"/>
      <c r="F5" s="100"/>
      <c r="G5" s="468"/>
      <c r="H5" s="468"/>
      <c r="I5" s="468"/>
      <c r="J5" s="468"/>
      <c r="K5" s="100"/>
      <c r="L5" s="100"/>
      <c r="M5" s="100"/>
      <c r="N5" s="468"/>
      <c r="O5" s="468"/>
      <c r="P5" s="468"/>
      <c r="Q5" s="468"/>
      <c r="R5" s="468"/>
      <c r="S5" s="468"/>
      <c r="T5" s="468"/>
      <c r="U5" s="468"/>
      <c r="V5" s="468"/>
      <c r="W5" s="468"/>
      <c r="X5" s="468"/>
      <c r="Y5" s="468"/>
      <c r="Z5" s="468"/>
      <c r="AA5" s="468"/>
      <c r="AB5" s="468"/>
      <c r="AC5" s="468"/>
      <c r="AD5" s="90" t="s">
        <v>80</v>
      </c>
      <c r="AE5" s="468">
        <v>126935.1</v>
      </c>
      <c r="AF5" s="468"/>
      <c r="AG5" s="468">
        <f t="shared" si="0"/>
        <v>126935.1</v>
      </c>
      <c r="AH5" s="468"/>
      <c r="AI5" s="468">
        <f t="shared" si="1"/>
        <v>126935.1</v>
      </c>
      <c r="AJ5" s="468"/>
      <c r="AK5" s="468">
        <f t="shared" si="2"/>
        <v>126935.1</v>
      </c>
      <c r="AL5" s="468"/>
      <c r="AM5" s="468">
        <f t="shared" si="3"/>
        <v>126935.1</v>
      </c>
      <c r="AN5" s="468"/>
      <c r="AO5" s="468">
        <f t="shared" si="4"/>
        <v>126935.1</v>
      </c>
      <c r="AP5" s="468"/>
      <c r="AQ5" s="468">
        <f t="shared" si="5"/>
        <v>126935.1</v>
      </c>
      <c r="AR5" s="468"/>
      <c r="AS5" s="468">
        <f t="shared" si="6"/>
        <v>126935.1</v>
      </c>
      <c r="AT5" s="468"/>
      <c r="AU5" s="468">
        <f t="shared" si="7"/>
        <v>126935.1</v>
      </c>
      <c r="AV5" s="468"/>
      <c r="AW5" s="126">
        <f>125110.05-2.65</f>
        <v>125107.40000000001</v>
      </c>
      <c r="AX5" s="126"/>
      <c r="AY5" s="113">
        <f t="shared" si="8"/>
        <v>125107.40000000001</v>
      </c>
      <c r="AZ5" s="113"/>
      <c r="BA5" s="113">
        <f>AZ5+AY5</f>
        <v>125107.40000000001</v>
      </c>
      <c r="BB5" s="113"/>
      <c r="BC5" s="113">
        <f>BB5+BA5</f>
        <v>125107.40000000001</v>
      </c>
      <c r="BD5" s="113"/>
      <c r="BE5" s="113">
        <f>BC5+BD5</f>
        <v>125107.40000000001</v>
      </c>
      <c r="BF5" s="113"/>
      <c r="BG5" s="113">
        <f>BE5+BF5</f>
        <v>125107.40000000001</v>
      </c>
      <c r="BH5" s="113"/>
      <c r="BI5" s="128">
        <v>253726.62</v>
      </c>
      <c r="BJ5" s="128">
        <v>296890.95</v>
      </c>
      <c r="BK5" s="128">
        <v>296890.95</v>
      </c>
      <c r="BL5" s="128">
        <v>0</v>
      </c>
      <c r="BM5" s="128">
        <f t="shared" ref="BM5:BM7" si="9">BI5+BL5</f>
        <v>253726.62</v>
      </c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</row>
    <row r="6" spans="1:109" s="99" customFormat="1" ht="32.25" customHeight="1">
      <c r="A6" s="25"/>
      <c r="B6" s="25">
        <v>266</v>
      </c>
      <c r="C6" s="87" t="s">
        <v>110</v>
      </c>
      <c r="D6" s="100"/>
      <c r="E6" s="100"/>
      <c r="F6" s="100"/>
      <c r="G6" s="468"/>
      <c r="H6" s="468"/>
      <c r="I6" s="468"/>
      <c r="J6" s="468"/>
      <c r="K6" s="100"/>
      <c r="L6" s="100"/>
      <c r="M6" s="100"/>
      <c r="N6" s="468"/>
      <c r="O6" s="468"/>
      <c r="P6" s="468"/>
      <c r="Q6" s="468"/>
      <c r="R6" s="468"/>
      <c r="S6" s="468"/>
      <c r="T6" s="468"/>
      <c r="U6" s="468"/>
      <c r="V6" s="468"/>
      <c r="W6" s="468"/>
      <c r="X6" s="468"/>
      <c r="Y6" s="468"/>
      <c r="Z6" s="468"/>
      <c r="AA6" s="468"/>
      <c r="AB6" s="468"/>
      <c r="AC6" s="468"/>
      <c r="AD6" s="90" t="s">
        <v>79</v>
      </c>
      <c r="AE6" s="468"/>
      <c r="AF6" s="468"/>
      <c r="AG6" s="468"/>
      <c r="AH6" s="468"/>
      <c r="AI6" s="468"/>
      <c r="AJ6" s="468"/>
      <c r="AK6" s="468"/>
      <c r="AL6" s="468"/>
      <c r="AM6" s="468"/>
      <c r="AN6" s="468"/>
      <c r="AO6" s="468"/>
      <c r="AP6" s="468"/>
      <c r="AQ6" s="468"/>
      <c r="AR6" s="468"/>
      <c r="AS6" s="468"/>
      <c r="AT6" s="468"/>
      <c r="AU6" s="468"/>
      <c r="AV6" s="468"/>
      <c r="AW6" s="126"/>
      <c r="AX6" s="126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28">
        <v>5000</v>
      </c>
      <c r="BJ6" s="128"/>
      <c r="BK6" s="128"/>
      <c r="BL6" s="128">
        <v>0</v>
      </c>
      <c r="BM6" s="128">
        <f t="shared" si="9"/>
        <v>5000</v>
      </c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</row>
    <row r="7" spans="1:109" s="99" customFormat="1">
      <c r="A7" s="476" t="s">
        <v>11</v>
      </c>
      <c r="B7" s="477"/>
      <c r="C7" s="478"/>
      <c r="D7" s="130"/>
      <c r="E7" s="130"/>
      <c r="F7" s="130"/>
      <c r="G7" s="114"/>
      <c r="H7" s="114"/>
      <c r="I7" s="114"/>
      <c r="J7" s="114"/>
      <c r="K7" s="130"/>
      <c r="L7" s="130"/>
      <c r="M7" s="130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24"/>
      <c r="AE7" s="114" t="e">
        <f>AE3+AE4</f>
        <v>#VALUE!</v>
      </c>
      <c r="AF7" s="114"/>
      <c r="AG7" s="114" t="e">
        <f>AE7+AF7</f>
        <v>#VALUE!</v>
      </c>
      <c r="AH7" s="114"/>
      <c r="AI7" s="114" t="e">
        <f>AG7+AH7</f>
        <v>#VALUE!</v>
      </c>
      <c r="AJ7" s="114"/>
      <c r="AK7" s="114" t="e">
        <f>AI7+AJ7</f>
        <v>#VALUE!</v>
      </c>
      <c r="AL7" s="114"/>
      <c r="AM7" s="114" t="e">
        <f>AK7+AL7</f>
        <v>#VALUE!</v>
      </c>
      <c r="AN7" s="114"/>
      <c r="AO7" s="114" t="e">
        <f>AM7+AN7</f>
        <v>#VALUE!</v>
      </c>
      <c r="AP7" s="114"/>
      <c r="AQ7" s="114" t="e">
        <f>AO7+AP7</f>
        <v>#VALUE!</v>
      </c>
      <c r="AR7" s="114"/>
      <c r="AS7" s="114" t="e">
        <f>AQ7+AR7</f>
        <v>#VALUE!</v>
      </c>
      <c r="AT7" s="114"/>
      <c r="AU7" s="114" t="e">
        <f>AS7+AT7</f>
        <v>#VALUE!</v>
      </c>
      <c r="AV7" s="114"/>
      <c r="AW7" s="114" t="e">
        <f>AW3+AW4</f>
        <v>#VALUE!</v>
      </c>
      <c r="AX7" s="114"/>
      <c r="AY7" s="114" t="e">
        <f t="shared" si="8"/>
        <v>#VALUE!</v>
      </c>
      <c r="AZ7" s="114"/>
      <c r="BA7" s="114" t="e">
        <f>BA4+BA3</f>
        <v>#VALUE!</v>
      </c>
      <c r="BB7" s="114"/>
      <c r="BC7" s="114" t="e">
        <f>BC4+BC3</f>
        <v>#VALUE!</v>
      </c>
      <c r="BD7" s="114" t="e">
        <f t="shared" ref="BD7:BE7" si="10">BD4+BD3</f>
        <v>#VALUE!</v>
      </c>
      <c r="BE7" s="114" t="e">
        <f t="shared" si="10"/>
        <v>#VALUE!</v>
      </c>
      <c r="BF7" s="114"/>
      <c r="BG7" s="114" t="e">
        <f t="shared" ref="BG7" si="11">BG4+BG3</f>
        <v>#VALUE!</v>
      </c>
      <c r="BH7" s="114"/>
      <c r="BI7" s="114">
        <f>BI4+BI5+BI6</f>
        <v>1093881</v>
      </c>
      <c r="BJ7" s="114">
        <f t="shared" ref="BJ7:BL7" si="12">BJ4+BJ5+BJ6</f>
        <v>1279973.58</v>
      </c>
      <c r="BK7" s="114">
        <f t="shared" si="12"/>
        <v>1279973.58</v>
      </c>
      <c r="BL7" s="114">
        <f t="shared" si="12"/>
        <v>0</v>
      </c>
      <c r="BM7" s="114">
        <f t="shared" si="9"/>
        <v>1093881</v>
      </c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</row>
    <row r="8" spans="1:109" s="99" customFormat="1" ht="17.25" customHeight="1">
      <c r="A8" s="177" t="s">
        <v>262</v>
      </c>
      <c r="B8" s="129">
        <v>211</v>
      </c>
      <c r="C8" s="87" t="s">
        <v>3</v>
      </c>
      <c r="D8" s="176"/>
      <c r="E8" s="176"/>
      <c r="F8" s="176"/>
      <c r="G8" s="113"/>
      <c r="H8" s="113"/>
      <c r="I8" s="113"/>
      <c r="J8" s="113"/>
      <c r="K8" s="176"/>
      <c r="L8" s="176"/>
      <c r="M8" s="176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77" t="s">
        <v>79</v>
      </c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28">
        <v>91792.63</v>
      </c>
      <c r="BJ8" s="128"/>
      <c r="BK8" s="128"/>
      <c r="BL8" s="128">
        <v>0</v>
      </c>
      <c r="BM8" s="128">
        <f>BI8+BL8</f>
        <v>91792.63</v>
      </c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</row>
    <row r="9" spans="1:109" s="99" customFormat="1" ht="20.25" customHeight="1">
      <c r="A9" s="212"/>
      <c r="B9" s="129">
        <v>213</v>
      </c>
      <c r="C9" s="87" t="s">
        <v>4</v>
      </c>
      <c r="D9" s="176"/>
      <c r="E9" s="176"/>
      <c r="F9" s="176"/>
      <c r="G9" s="113"/>
      <c r="H9" s="113"/>
      <c r="I9" s="113"/>
      <c r="J9" s="113"/>
      <c r="K9" s="176"/>
      <c r="L9" s="176"/>
      <c r="M9" s="176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77" t="s">
        <v>80</v>
      </c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28">
        <v>27721.37</v>
      </c>
      <c r="BJ9" s="128"/>
      <c r="BK9" s="128"/>
      <c r="BL9" s="128">
        <v>0</v>
      </c>
      <c r="BM9" s="128">
        <f>BI9+BL9</f>
        <v>27721.37</v>
      </c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</row>
    <row r="10" spans="1:109" s="99" customFormat="1">
      <c r="A10" s="464"/>
      <c r="B10" s="465"/>
      <c r="C10" s="466"/>
      <c r="D10" s="130"/>
      <c r="E10" s="130"/>
      <c r="F10" s="130"/>
      <c r="G10" s="114"/>
      <c r="H10" s="114"/>
      <c r="I10" s="114"/>
      <c r="J10" s="114"/>
      <c r="K10" s="130"/>
      <c r="L10" s="130"/>
      <c r="M10" s="130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2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>
        <f>BI8+BI9</f>
        <v>119514</v>
      </c>
      <c r="BJ10" s="114">
        <f t="shared" ref="BJ10:BL10" si="13">BJ8+BJ9</f>
        <v>0</v>
      </c>
      <c r="BK10" s="114">
        <f t="shared" si="13"/>
        <v>0</v>
      </c>
      <c r="BL10" s="114">
        <f t="shared" si="13"/>
        <v>0</v>
      </c>
      <c r="BM10" s="114">
        <f>BI10+BL10</f>
        <v>119514</v>
      </c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</row>
    <row r="11" spans="1:109" s="99" customFormat="1">
      <c r="A11" s="177" t="s">
        <v>265</v>
      </c>
      <c r="B11" s="129">
        <v>211</v>
      </c>
      <c r="C11" s="87" t="s">
        <v>3</v>
      </c>
      <c r="D11" s="176"/>
      <c r="E11" s="176"/>
      <c r="F11" s="176"/>
      <c r="G11" s="113"/>
      <c r="H11" s="113"/>
      <c r="I11" s="113"/>
      <c r="J11" s="113"/>
      <c r="K11" s="176"/>
      <c r="L11" s="176"/>
      <c r="M11" s="176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77" t="s">
        <v>79</v>
      </c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28">
        <v>326455.45</v>
      </c>
      <c r="BJ11" s="128"/>
      <c r="BK11" s="128"/>
      <c r="BL11" s="128">
        <v>0</v>
      </c>
      <c r="BM11" s="128">
        <f>BI11+BL11</f>
        <v>326455.45</v>
      </c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</row>
    <row r="12" spans="1:109" s="99" customFormat="1">
      <c r="A12" s="212"/>
      <c r="B12" s="129">
        <v>213</v>
      </c>
      <c r="C12" s="87" t="s">
        <v>4</v>
      </c>
      <c r="D12" s="176"/>
      <c r="E12" s="176"/>
      <c r="F12" s="176"/>
      <c r="G12" s="113"/>
      <c r="H12" s="113"/>
      <c r="I12" s="113"/>
      <c r="J12" s="113"/>
      <c r="K12" s="176"/>
      <c r="L12" s="176"/>
      <c r="M12" s="176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77" t="s">
        <v>80</v>
      </c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28">
        <v>98589.55</v>
      </c>
      <c r="BJ12" s="128"/>
      <c r="BK12" s="128"/>
      <c r="BL12" s="128">
        <v>0</v>
      </c>
      <c r="BM12" s="128">
        <f t="shared" ref="BM12:BM13" si="14">BI12+BL12</f>
        <v>98589.55</v>
      </c>
      <c r="BN12" s="96"/>
      <c r="BO12" s="96"/>
      <c r="BP12" s="96"/>
      <c r="BQ12" s="96"/>
      <c r="BR12" s="96"/>
      <c r="BS12" s="96"/>
      <c r="BT12" s="96"/>
      <c r="BU12" s="96"/>
      <c r="BV12" s="96"/>
      <c r="BW12" s="96"/>
      <c r="BX12" s="96"/>
      <c r="BY12" s="96"/>
      <c r="BZ12" s="96"/>
      <c r="CA12" s="96"/>
      <c r="CB12" s="96"/>
      <c r="CC12" s="96"/>
      <c r="CD12" s="96"/>
      <c r="CE12" s="96"/>
      <c r="CF12" s="96"/>
      <c r="CG12" s="96"/>
      <c r="CH12" s="96"/>
      <c r="CI12" s="96"/>
      <c r="CJ12" s="96"/>
      <c r="CK12" s="96"/>
      <c r="CL12" s="96"/>
      <c r="CM12" s="96"/>
      <c r="CN12" s="96"/>
      <c r="CO12" s="96"/>
      <c r="CP12" s="96"/>
      <c r="CQ12" s="96"/>
      <c r="CR12" s="96"/>
    </row>
    <row r="13" spans="1:109" s="99" customFormat="1">
      <c r="A13" s="454"/>
      <c r="B13" s="454"/>
      <c r="C13" s="454"/>
      <c r="D13" s="130"/>
      <c r="E13" s="130"/>
      <c r="F13" s="130"/>
      <c r="G13" s="114"/>
      <c r="H13" s="114"/>
      <c r="I13" s="114"/>
      <c r="J13" s="114"/>
      <c r="K13" s="130"/>
      <c r="L13" s="130"/>
      <c r="M13" s="130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2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>
        <f>BI11+BI12</f>
        <v>425045</v>
      </c>
      <c r="BJ13" s="114">
        <f t="shared" ref="BJ13:BL13" si="15">BJ11+BJ12</f>
        <v>0</v>
      </c>
      <c r="BK13" s="114">
        <f t="shared" si="15"/>
        <v>0</v>
      </c>
      <c r="BL13" s="114">
        <f t="shared" si="15"/>
        <v>0</v>
      </c>
      <c r="BM13" s="114">
        <f t="shared" si="14"/>
        <v>425045</v>
      </c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/>
      <c r="CP13" s="96"/>
      <c r="CQ13" s="96"/>
      <c r="CR13" s="96"/>
    </row>
    <row r="14" spans="1:109" s="162" customFormat="1" ht="19.5" customHeight="1">
      <c r="A14" s="177" t="s">
        <v>70</v>
      </c>
      <c r="B14" s="129">
        <v>222</v>
      </c>
      <c r="C14" s="175" t="s">
        <v>13</v>
      </c>
      <c r="D14" s="188"/>
      <c r="E14" s="189" t="e">
        <f>G14</f>
        <v>#REF!</v>
      </c>
      <c r="F14" s="189" t="e">
        <f t="shared" ref="F14" si="16">E14</f>
        <v>#REF!</v>
      </c>
      <c r="G14" s="189" t="e">
        <f>#REF!</f>
        <v>#REF!</v>
      </c>
      <c r="H14" s="190" t="e">
        <f t="shared" ref="H14" si="17">D14+G14</f>
        <v>#REF!</v>
      </c>
      <c r="I14" s="190"/>
      <c r="J14" s="190" t="e">
        <f t="shared" ref="J14" si="18">F14+I14</f>
        <v>#REF!</v>
      </c>
      <c r="K14" s="190"/>
      <c r="L14" s="191">
        <v>90000</v>
      </c>
      <c r="M14" s="191"/>
      <c r="N14" s="113" t="e">
        <f t="shared" ref="N14" si="19">J14+M14</f>
        <v>#REF!</v>
      </c>
      <c r="O14" s="113"/>
      <c r="P14" s="113" t="e">
        <f>N14+O14</f>
        <v>#REF!</v>
      </c>
      <c r="Q14" s="113"/>
      <c r="R14" s="113" t="e">
        <f>P14+Q14</f>
        <v>#REF!</v>
      </c>
      <c r="S14" s="113"/>
      <c r="T14" s="113" t="e">
        <f t="shared" ref="T14" si="20">R14+S14</f>
        <v>#REF!</v>
      </c>
      <c r="U14" s="113"/>
      <c r="V14" s="113" t="e">
        <f t="shared" ref="V14" si="21">T14+U14</f>
        <v>#REF!</v>
      </c>
      <c r="W14" s="113"/>
      <c r="X14" s="113" t="e">
        <f t="shared" ref="X14" si="22">V14+W14</f>
        <v>#REF!</v>
      </c>
      <c r="Y14" s="113"/>
      <c r="Z14" s="113" t="e">
        <f t="shared" ref="Z14" si="23">X14+Y14</f>
        <v>#REF!</v>
      </c>
      <c r="AA14" s="113"/>
      <c r="AB14" s="113" t="e">
        <f t="shared" ref="AB14" si="24">Z14+AA14</f>
        <v>#REF!</v>
      </c>
      <c r="AC14" s="113"/>
      <c r="AD14" s="177" t="s">
        <v>78</v>
      </c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>
        <f>BI15</f>
        <v>203400</v>
      </c>
      <c r="BJ14" s="113" t="e">
        <f ca="1">BJ16+BJ18+BJ20+BJ22+BJ24+BJ37+BJ38+#REF!+#REF!+BJ39</f>
        <v>#REF!</v>
      </c>
      <c r="BK14" s="113" t="e">
        <f ca="1">BK16+BK18+BK20+BK22+BK24+BK37+BK38+#REF!+#REF!+BK39</f>
        <v>#REF!</v>
      </c>
      <c r="BL14" s="113">
        <f>BL15</f>
        <v>0</v>
      </c>
      <c r="BM14" s="113">
        <f>BI14+BL14</f>
        <v>203400</v>
      </c>
      <c r="BN14" s="154"/>
      <c r="BO14" s="103"/>
      <c r="BP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8"/>
      <c r="CN14" s="138"/>
      <c r="CO14" s="163"/>
      <c r="CP14" s="163"/>
      <c r="CQ14" s="163"/>
      <c r="CR14" s="163"/>
      <c r="CS14" s="163"/>
      <c r="CT14" s="163"/>
      <c r="CU14" s="163"/>
      <c r="CV14" s="163"/>
      <c r="CW14" s="163"/>
      <c r="CX14" s="163"/>
      <c r="CY14" s="163"/>
      <c r="CZ14" s="163"/>
      <c r="DA14" s="163"/>
      <c r="DB14" s="163"/>
      <c r="DC14" s="163"/>
      <c r="DD14" s="163"/>
      <c r="DE14" s="163"/>
    </row>
    <row r="15" spans="1:109" s="162" customFormat="1" ht="27.75" customHeight="1">
      <c r="A15" s="177" t="s">
        <v>260</v>
      </c>
      <c r="B15" s="129"/>
      <c r="C15" s="455" t="s">
        <v>245</v>
      </c>
      <c r="D15" s="192"/>
      <c r="E15" s="193"/>
      <c r="F15" s="193"/>
      <c r="G15" s="193"/>
      <c r="H15" s="194"/>
      <c r="I15" s="194"/>
      <c r="J15" s="194"/>
      <c r="K15" s="194"/>
      <c r="L15" s="195"/>
      <c r="M15" s="195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430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>
        <v>203400</v>
      </c>
      <c r="BJ15" s="128"/>
      <c r="BK15" s="128"/>
      <c r="BL15" s="128">
        <v>0</v>
      </c>
      <c r="BM15" s="128">
        <f t="shared" ref="BM15:BM23" si="25">BI15+BL15</f>
        <v>203400</v>
      </c>
      <c r="BN15" s="154"/>
      <c r="BO15" s="103"/>
      <c r="BP15" s="138"/>
      <c r="BZ15" s="138"/>
      <c r="CA15" s="138"/>
      <c r="CB15" s="138"/>
      <c r="CC15" s="138"/>
      <c r="CD15" s="138"/>
      <c r="CE15" s="138"/>
      <c r="CF15" s="138"/>
      <c r="CG15" s="138"/>
      <c r="CH15" s="138"/>
      <c r="CI15" s="138"/>
      <c r="CJ15" s="138"/>
      <c r="CK15" s="138"/>
      <c r="CL15" s="138"/>
      <c r="CM15" s="138"/>
      <c r="CN15" s="138"/>
      <c r="CO15" s="163"/>
      <c r="CP15" s="163"/>
      <c r="CQ15" s="163"/>
      <c r="CR15" s="163"/>
      <c r="CS15" s="163"/>
      <c r="CT15" s="163"/>
      <c r="CU15" s="163"/>
      <c r="CV15" s="163"/>
      <c r="CW15" s="163"/>
      <c r="CX15" s="163"/>
      <c r="CY15" s="163"/>
      <c r="CZ15" s="163"/>
      <c r="DA15" s="163"/>
      <c r="DB15" s="163"/>
      <c r="DC15" s="163"/>
      <c r="DD15" s="163"/>
      <c r="DE15" s="163"/>
    </row>
    <row r="16" spans="1:109" s="1" customFormat="1" ht="24.75" customHeight="1">
      <c r="A16" s="212"/>
      <c r="B16" s="129">
        <v>225</v>
      </c>
      <c r="C16" s="175" t="s">
        <v>7</v>
      </c>
      <c r="D16" s="192"/>
      <c r="E16" s="189"/>
      <c r="F16" s="189"/>
      <c r="G16" s="189"/>
      <c r="H16" s="190"/>
      <c r="I16" s="190"/>
      <c r="J16" s="190"/>
      <c r="K16" s="190"/>
      <c r="L16" s="191"/>
      <c r="M16" s="191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77" t="s">
        <v>78</v>
      </c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113"/>
      <c r="BC16" s="113"/>
      <c r="BD16" s="113"/>
      <c r="BE16" s="113"/>
      <c r="BF16" s="113"/>
      <c r="BG16" s="113"/>
      <c r="BH16" s="113"/>
      <c r="BI16" s="181">
        <f>BI17</f>
        <v>77000</v>
      </c>
      <c r="BJ16" s="181" t="e">
        <f t="shared" ref="BJ16:BK16" si="26">BJ18</f>
        <v>#REF!</v>
      </c>
      <c r="BK16" s="181" t="e">
        <f t="shared" si="26"/>
        <v>#REF!</v>
      </c>
      <c r="BL16" s="181">
        <f>BL17</f>
        <v>0</v>
      </c>
      <c r="BM16" s="113">
        <f t="shared" si="25"/>
        <v>77000</v>
      </c>
      <c r="BN16" s="102"/>
      <c r="BO16" s="103"/>
      <c r="BP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</row>
    <row r="17" spans="1:109" s="1" customFormat="1" ht="24.75" customHeight="1">
      <c r="A17" s="431"/>
      <c r="B17" s="269"/>
      <c r="C17" s="455" t="s">
        <v>246</v>
      </c>
      <c r="D17" s="192"/>
      <c r="E17" s="193"/>
      <c r="F17" s="193"/>
      <c r="G17" s="193"/>
      <c r="H17" s="194"/>
      <c r="I17" s="194"/>
      <c r="J17" s="194"/>
      <c r="K17" s="194"/>
      <c r="L17" s="195"/>
      <c r="M17" s="195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430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221">
        <v>77000</v>
      </c>
      <c r="BJ17" s="221"/>
      <c r="BK17" s="221"/>
      <c r="BL17" s="221">
        <v>0</v>
      </c>
      <c r="BM17" s="128">
        <f t="shared" si="25"/>
        <v>77000</v>
      </c>
      <c r="BN17" s="102"/>
      <c r="BO17" s="103"/>
      <c r="BP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</row>
    <row r="18" spans="1:109" s="1" customFormat="1" ht="13.5" customHeight="1">
      <c r="A18" s="177"/>
      <c r="B18" s="129">
        <v>226</v>
      </c>
      <c r="C18" s="117" t="s">
        <v>8</v>
      </c>
      <c r="D18" s="192"/>
      <c r="E18" s="193"/>
      <c r="F18" s="193"/>
      <c r="G18" s="193"/>
      <c r="H18" s="194"/>
      <c r="I18" s="194"/>
      <c r="J18" s="194"/>
      <c r="K18" s="194"/>
      <c r="L18" s="195"/>
      <c r="M18" s="195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77" t="s">
        <v>78</v>
      </c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>
        <f>BI19</f>
        <v>160000</v>
      </c>
      <c r="BJ18" s="113" t="e">
        <f>#REF!+#REF!+#REF!+#REF!</f>
        <v>#REF!</v>
      </c>
      <c r="BK18" s="113" t="e">
        <f>#REF!+#REF!+#REF!+#REF!</f>
        <v>#REF!</v>
      </c>
      <c r="BL18" s="113">
        <f>BL19</f>
        <v>0</v>
      </c>
      <c r="BM18" s="113">
        <f t="shared" si="25"/>
        <v>160000</v>
      </c>
      <c r="BN18" s="104"/>
      <c r="BO18" s="105"/>
      <c r="BP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</row>
    <row r="19" spans="1:109" s="1" customFormat="1" ht="13.5" customHeight="1">
      <c r="A19" s="177"/>
      <c r="B19" s="129"/>
      <c r="C19" s="150" t="s">
        <v>247</v>
      </c>
      <c r="D19" s="192"/>
      <c r="E19" s="193"/>
      <c r="F19" s="193"/>
      <c r="G19" s="193"/>
      <c r="H19" s="194"/>
      <c r="I19" s="194"/>
      <c r="J19" s="194"/>
      <c r="K19" s="194"/>
      <c r="L19" s="195"/>
      <c r="M19" s="195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430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>
        <v>160000</v>
      </c>
      <c r="BJ19" s="128"/>
      <c r="BK19" s="128"/>
      <c r="BL19" s="128">
        <v>0</v>
      </c>
      <c r="BM19" s="128">
        <f t="shared" si="25"/>
        <v>160000</v>
      </c>
      <c r="BN19" s="104"/>
      <c r="BO19" s="105"/>
      <c r="BP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</row>
    <row r="20" spans="1:109" s="162" customFormat="1" ht="24.75" customHeight="1">
      <c r="A20" s="177"/>
      <c r="B20" s="129">
        <v>346</v>
      </c>
      <c r="C20" s="117" t="s">
        <v>123</v>
      </c>
      <c r="D20" s="188"/>
      <c r="E20" s="189"/>
      <c r="F20" s="189"/>
      <c r="G20" s="189"/>
      <c r="H20" s="190"/>
      <c r="I20" s="190"/>
      <c r="J20" s="190"/>
      <c r="K20" s="190"/>
      <c r="L20" s="191"/>
      <c r="M20" s="191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77" t="s">
        <v>78</v>
      </c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>
        <f>BI21</f>
        <v>232823</v>
      </c>
      <c r="BJ20" s="113" t="e">
        <f>#REF!+#REF!+#REF!+#REF!+#REF!+#REF!+#REF!+#REF!+#REF!+#REF!+#REF!+#REF!+#REF!+#REF!+#REF!+#REF!+#REF!+#REF!+#REF!+#REF!+#REF!+#REF!+#REF!</f>
        <v>#REF!</v>
      </c>
      <c r="BK20" s="113" t="e">
        <f>#REF!+#REF!+#REF!+#REF!+#REF!+#REF!+#REF!+#REF!+#REF!+#REF!+#REF!+#REF!+#REF!+#REF!+#REF!+#REF!+#REF!+#REF!+#REF!+#REF!+#REF!+#REF!+#REF!</f>
        <v>#REF!</v>
      </c>
      <c r="BL20" s="113">
        <f>BL21</f>
        <v>0</v>
      </c>
      <c r="BM20" s="113">
        <f t="shared" si="25"/>
        <v>232823</v>
      </c>
      <c r="BN20" s="102"/>
      <c r="BO20" s="103"/>
      <c r="BP20" s="138"/>
      <c r="BZ20" s="138"/>
      <c r="CA20" s="138"/>
      <c r="CB20" s="138"/>
      <c r="CC20" s="138"/>
      <c r="CD20" s="138"/>
      <c r="CE20" s="138"/>
      <c r="CF20" s="138"/>
      <c r="CG20" s="138"/>
      <c r="CH20" s="138"/>
      <c r="CI20" s="138"/>
      <c r="CJ20" s="138"/>
      <c r="CK20" s="138"/>
      <c r="CL20" s="138"/>
      <c r="CM20" s="138"/>
      <c r="CN20" s="138"/>
      <c r="CO20" s="163"/>
      <c r="CP20" s="163"/>
      <c r="CQ20" s="163"/>
      <c r="CR20" s="163"/>
      <c r="CS20" s="163"/>
      <c r="CT20" s="163"/>
      <c r="CU20" s="163"/>
      <c r="CV20" s="163"/>
      <c r="CW20" s="163"/>
      <c r="CX20" s="163"/>
      <c r="CY20" s="163"/>
      <c r="CZ20" s="163"/>
      <c r="DA20" s="163"/>
      <c r="DB20" s="163"/>
      <c r="DC20" s="163"/>
      <c r="DD20" s="163"/>
      <c r="DE20" s="163"/>
    </row>
    <row r="21" spans="1:109" s="162" customFormat="1" ht="30" customHeight="1">
      <c r="A21" s="177"/>
      <c r="B21" s="129"/>
      <c r="C21" s="150" t="s">
        <v>248</v>
      </c>
      <c r="D21" s="192"/>
      <c r="E21" s="193"/>
      <c r="F21" s="193"/>
      <c r="G21" s="193"/>
      <c r="H21" s="194"/>
      <c r="I21" s="194"/>
      <c r="J21" s="194"/>
      <c r="K21" s="194"/>
      <c r="L21" s="195"/>
      <c r="M21" s="195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430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>
        <v>232823</v>
      </c>
      <c r="BJ21" s="128"/>
      <c r="BK21" s="128"/>
      <c r="BL21" s="128">
        <v>0</v>
      </c>
      <c r="BM21" s="128">
        <f t="shared" si="25"/>
        <v>232823</v>
      </c>
      <c r="BN21" s="102"/>
      <c r="BO21" s="103"/>
      <c r="BP21" s="138"/>
      <c r="BZ21" s="138"/>
      <c r="CA21" s="138"/>
      <c r="CB21" s="138"/>
      <c r="CC21" s="138"/>
      <c r="CD21" s="138"/>
      <c r="CE21" s="138"/>
      <c r="CF21" s="138"/>
      <c r="CG21" s="138"/>
      <c r="CH21" s="138"/>
      <c r="CI21" s="138"/>
      <c r="CJ21" s="138"/>
      <c r="CK21" s="138"/>
      <c r="CL21" s="138"/>
      <c r="CM21" s="138"/>
      <c r="CN21" s="138"/>
      <c r="CO21" s="163"/>
      <c r="CP21" s="163"/>
      <c r="CQ21" s="163"/>
      <c r="CR21" s="163"/>
      <c r="CS21" s="163"/>
      <c r="CT21" s="163"/>
      <c r="CU21" s="163"/>
      <c r="CV21" s="163"/>
      <c r="CW21" s="163"/>
      <c r="CX21" s="163"/>
      <c r="CY21" s="163"/>
      <c r="CZ21" s="163"/>
      <c r="DA21" s="163"/>
      <c r="DB21" s="163"/>
      <c r="DC21" s="163"/>
      <c r="DD21" s="163"/>
      <c r="DE21" s="163"/>
    </row>
    <row r="22" spans="1:109" s="1" customFormat="1" ht="30" customHeight="1">
      <c r="A22" s="177"/>
      <c r="B22" s="129">
        <v>349</v>
      </c>
      <c r="C22" s="117" t="s">
        <v>124</v>
      </c>
      <c r="D22" s="192"/>
      <c r="E22" s="193"/>
      <c r="F22" s="193"/>
      <c r="G22" s="193"/>
      <c r="H22" s="194"/>
      <c r="I22" s="194"/>
      <c r="J22" s="194"/>
      <c r="K22" s="194"/>
      <c r="L22" s="195"/>
      <c r="M22" s="195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77" t="s">
        <v>78</v>
      </c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>
        <f>BI23</f>
        <v>320877</v>
      </c>
      <c r="BJ22" s="113" t="e">
        <f>#REF!+#REF!+#REF!+#REF!+#REF!+#REF!+#REF!+#REF!+#REF!+#REF!+#REF!+#REF!+#REF!+#REF!+#REF!+#REF!+#REF!+#REF!+#REF!+#REF!+#REF!+#REF!+#REF!+#REF!+#REF!+#REF!</f>
        <v>#REF!</v>
      </c>
      <c r="BK22" s="113" t="e">
        <f>#REF!+#REF!+#REF!+#REF!+#REF!+#REF!+#REF!+#REF!+#REF!+#REF!+#REF!+#REF!+#REF!+#REF!+#REF!+#REF!+#REF!+#REF!+#REF!+#REF!+#REF!+#REF!+#REF!+#REF!+#REF!+#REF!</f>
        <v>#REF!</v>
      </c>
      <c r="BL22" s="113">
        <f>BL23</f>
        <v>0</v>
      </c>
      <c r="BM22" s="113">
        <f t="shared" si="25"/>
        <v>320877</v>
      </c>
      <c r="BN22" s="104"/>
      <c r="BO22" s="105"/>
      <c r="BP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</row>
    <row r="23" spans="1:109" s="1" customFormat="1" ht="19.5" customHeight="1">
      <c r="A23" s="177"/>
      <c r="B23" s="129"/>
      <c r="C23" s="150" t="s">
        <v>249</v>
      </c>
      <c r="D23" s="192"/>
      <c r="E23" s="193"/>
      <c r="F23" s="193"/>
      <c r="G23" s="193"/>
      <c r="H23" s="194"/>
      <c r="I23" s="194"/>
      <c r="J23" s="194"/>
      <c r="K23" s="194"/>
      <c r="L23" s="195"/>
      <c r="M23" s="195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430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>
        <v>320877</v>
      </c>
      <c r="BJ23" s="128"/>
      <c r="BK23" s="128"/>
      <c r="BL23" s="128">
        <v>0</v>
      </c>
      <c r="BM23" s="128">
        <f t="shared" si="25"/>
        <v>320877</v>
      </c>
      <c r="BN23" s="104"/>
      <c r="BO23" s="105"/>
      <c r="BP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</row>
    <row r="24" spans="1:109" s="1" customFormat="1" ht="15">
      <c r="A24" s="479" t="s">
        <v>11</v>
      </c>
      <c r="B24" s="479"/>
      <c r="C24" s="479"/>
      <c r="D24" s="131"/>
      <c r="E24" s="133">
        <f>G24</f>
        <v>5420</v>
      </c>
      <c r="F24" s="133">
        <f t="shared" ref="F24" si="27">E24</f>
        <v>5420</v>
      </c>
      <c r="G24" s="133">
        <v>5420</v>
      </c>
      <c r="H24" s="134">
        <f t="shared" ref="H24" si="28">D24+G24</f>
        <v>5420</v>
      </c>
      <c r="I24" s="134"/>
      <c r="J24" s="134">
        <f t="shared" ref="J24" si="29">F24+I24</f>
        <v>5420</v>
      </c>
      <c r="K24" s="134"/>
      <c r="L24" s="135">
        <v>5420</v>
      </c>
      <c r="M24" s="135"/>
      <c r="N24" s="114">
        <f t="shared" ref="N24" si="30">J24+M24</f>
        <v>5420</v>
      </c>
      <c r="O24" s="114"/>
      <c r="P24" s="114">
        <f>N24+O24</f>
        <v>5420</v>
      </c>
      <c r="Q24" s="114"/>
      <c r="R24" s="114">
        <f>P24+Q24</f>
        <v>5420</v>
      </c>
      <c r="S24" s="114"/>
      <c r="T24" s="114">
        <f t="shared" ref="T24" si="31">R24+S24</f>
        <v>5420</v>
      </c>
      <c r="U24" s="114"/>
      <c r="V24" s="114">
        <f t="shared" ref="V24" si="32">T24+U24</f>
        <v>5420</v>
      </c>
      <c r="W24" s="114"/>
      <c r="X24" s="114">
        <f t="shared" ref="X24" si="33">V24+W24</f>
        <v>5420</v>
      </c>
      <c r="Y24" s="114"/>
      <c r="Z24" s="114">
        <f t="shared" ref="Z24" si="34">X24+Y24</f>
        <v>5420</v>
      </c>
      <c r="AA24" s="114"/>
      <c r="AB24" s="114">
        <f t="shared" ref="AB24" si="35">Z24+AA24</f>
        <v>5420</v>
      </c>
      <c r="AC24" s="114"/>
      <c r="AD24" s="124"/>
      <c r="AE24" s="114" t="e">
        <f>#REF!+#REF!</f>
        <v>#REF!</v>
      </c>
      <c r="AF24" s="114"/>
      <c r="AG24" s="114" t="e">
        <f t="shared" ref="AG24" si="36">AE24+AF24</f>
        <v>#REF!</v>
      </c>
      <c r="AH24" s="114"/>
      <c r="AI24" s="114" t="e">
        <f t="shared" ref="AI24" si="37">AG24+AH24</f>
        <v>#REF!</v>
      </c>
      <c r="AJ24" s="114"/>
      <c r="AK24" s="114" t="e">
        <f t="shared" ref="AK24" si="38">AI24+AJ24</f>
        <v>#REF!</v>
      </c>
      <c r="AL24" s="114"/>
      <c r="AM24" s="114" t="e">
        <f t="shared" ref="AM24" si="39">AK24+AL24</f>
        <v>#REF!</v>
      </c>
      <c r="AN24" s="114"/>
      <c r="AO24" s="114" t="e">
        <f t="shared" ref="AO24" si="40">AM24+AN24</f>
        <v>#REF!</v>
      </c>
      <c r="AP24" s="114"/>
      <c r="AQ24" s="114" t="e">
        <f t="shared" ref="AQ24" si="41">AO24+AP24</f>
        <v>#REF!</v>
      </c>
      <c r="AR24" s="114"/>
      <c r="AS24" s="114" t="e">
        <f t="shared" ref="AS24" si="42">AQ24+AR24</f>
        <v>#REF!</v>
      </c>
      <c r="AT24" s="114"/>
      <c r="AU24" s="114" t="e">
        <f t="shared" ref="AU24" si="43">AS24+AT24</f>
        <v>#REF!</v>
      </c>
      <c r="AV24" s="114"/>
      <c r="AW24" s="114" t="e">
        <f>AU24+AV24</f>
        <v>#REF!</v>
      </c>
      <c r="AX24" s="114"/>
      <c r="AY24" s="114" t="e">
        <f t="shared" ref="AY24" si="44">AX24+AW24</f>
        <v>#REF!</v>
      </c>
      <c r="AZ24" s="114"/>
      <c r="BA24" s="114" t="e">
        <f t="shared" ref="BA24" si="45">AZ24+AY24</f>
        <v>#REF!</v>
      </c>
      <c r="BB24" s="114"/>
      <c r="BC24" s="114" t="e">
        <f t="shared" ref="BC24" si="46">BB24+BA24</f>
        <v>#REF!</v>
      </c>
      <c r="BD24" s="114"/>
      <c r="BE24" s="114" t="e">
        <f t="shared" ref="BE24" si="47">BC24+BD24</f>
        <v>#REF!</v>
      </c>
      <c r="BF24" s="114"/>
      <c r="BG24" s="114" t="e">
        <f t="shared" ref="BG24" si="48">BE24+BF24</f>
        <v>#REF!</v>
      </c>
      <c r="BH24" s="114"/>
      <c r="BI24" s="114">
        <f>BI14+BI16+BI18+BI20+BI22</f>
        <v>994100</v>
      </c>
      <c r="BJ24" s="114">
        <f t="shared" ref="BJ24:BL24" ca="1" si="49">BJ14+BJ16+BJ18+BJ20+BJ22</f>
        <v>994100</v>
      </c>
      <c r="BK24" s="114">
        <f t="shared" ca="1" si="49"/>
        <v>994100</v>
      </c>
      <c r="BL24" s="114">
        <f t="shared" si="49"/>
        <v>0</v>
      </c>
      <c r="BM24" s="114">
        <f>BI24+BL24</f>
        <v>994100</v>
      </c>
      <c r="BN24" s="104"/>
      <c r="BO24" s="105"/>
      <c r="BP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</row>
    <row r="25" spans="1:109" s="1" customFormat="1" ht="15">
      <c r="A25" s="177" t="s">
        <v>132</v>
      </c>
      <c r="B25" s="177" t="s">
        <v>107</v>
      </c>
      <c r="C25" s="117" t="s">
        <v>8</v>
      </c>
      <c r="D25" s="192"/>
      <c r="E25" s="193"/>
      <c r="F25" s="193"/>
      <c r="G25" s="193"/>
      <c r="H25" s="194"/>
      <c r="I25" s="194"/>
      <c r="J25" s="194"/>
      <c r="K25" s="194"/>
      <c r="L25" s="195"/>
      <c r="M25" s="195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77" t="s">
        <v>78</v>
      </c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>
        <f>BI26</f>
        <v>180000</v>
      </c>
      <c r="BJ25" s="113">
        <f t="shared" ref="BJ25:BL25" si="50">BJ26</f>
        <v>0</v>
      </c>
      <c r="BK25" s="113">
        <f t="shared" si="50"/>
        <v>0</v>
      </c>
      <c r="BL25" s="113">
        <f t="shared" si="50"/>
        <v>0</v>
      </c>
      <c r="BM25" s="113">
        <f>BI25+BL25</f>
        <v>180000</v>
      </c>
      <c r="BN25" s="104"/>
      <c r="BO25" s="105"/>
      <c r="BP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</row>
    <row r="26" spans="1:109" s="1" customFormat="1" ht="15">
      <c r="A26" s="430"/>
      <c r="B26" s="430"/>
      <c r="C26" s="150" t="s">
        <v>250</v>
      </c>
      <c r="D26" s="192"/>
      <c r="E26" s="193"/>
      <c r="F26" s="193"/>
      <c r="G26" s="193"/>
      <c r="H26" s="194"/>
      <c r="I26" s="194"/>
      <c r="J26" s="194"/>
      <c r="K26" s="194"/>
      <c r="L26" s="195"/>
      <c r="M26" s="195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430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>
        <v>180000</v>
      </c>
      <c r="BJ26" s="128"/>
      <c r="BK26" s="128"/>
      <c r="BL26" s="128">
        <v>0</v>
      </c>
      <c r="BM26" s="128">
        <f t="shared" ref="BM26:BM30" si="51">BI26+BL26</f>
        <v>180000</v>
      </c>
      <c r="BN26" s="104"/>
      <c r="BO26" s="105"/>
      <c r="BP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</row>
    <row r="27" spans="1:109" s="1" customFormat="1" ht="25.5">
      <c r="A27" s="177" t="s">
        <v>261</v>
      </c>
      <c r="B27" s="177" t="s">
        <v>108</v>
      </c>
      <c r="C27" s="117" t="s">
        <v>123</v>
      </c>
      <c r="D27" s="192"/>
      <c r="E27" s="193"/>
      <c r="F27" s="193"/>
      <c r="G27" s="193"/>
      <c r="H27" s="194"/>
      <c r="I27" s="194"/>
      <c r="J27" s="194"/>
      <c r="K27" s="194"/>
      <c r="L27" s="195"/>
      <c r="M27" s="195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77" t="s">
        <v>78</v>
      </c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F27" s="113"/>
      <c r="BG27" s="113"/>
      <c r="BH27" s="113"/>
      <c r="BI27" s="113">
        <f>BI28</f>
        <v>270000</v>
      </c>
      <c r="BJ27" s="113">
        <f t="shared" ref="BJ27:BL27" si="52">BJ28</f>
        <v>0</v>
      </c>
      <c r="BK27" s="113">
        <f t="shared" si="52"/>
        <v>0</v>
      </c>
      <c r="BL27" s="113">
        <f t="shared" si="52"/>
        <v>0</v>
      </c>
      <c r="BM27" s="113">
        <f t="shared" si="51"/>
        <v>270000</v>
      </c>
      <c r="BN27" s="104"/>
      <c r="BO27" s="105"/>
      <c r="BP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</row>
    <row r="28" spans="1:109" s="1" customFormat="1" ht="25.5">
      <c r="A28" s="177"/>
      <c r="B28" s="177"/>
      <c r="C28" s="150" t="s">
        <v>248</v>
      </c>
      <c r="D28" s="192"/>
      <c r="E28" s="193"/>
      <c r="F28" s="193"/>
      <c r="G28" s="193"/>
      <c r="H28" s="194"/>
      <c r="I28" s="194"/>
      <c r="J28" s="194"/>
      <c r="K28" s="194"/>
      <c r="L28" s="195"/>
      <c r="M28" s="195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430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>
        <v>270000</v>
      </c>
      <c r="BJ28" s="128"/>
      <c r="BK28" s="128"/>
      <c r="BL28" s="128">
        <v>0</v>
      </c>
      <c r="BM28" s="128">
        <f t="shared" si="51"/>
        <v>270000</v>
      </c>
      <c r="BN28" s="104"/>
      <c r="BO28" s="105"/>
      <c r="BP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</row>
    <row r="29" spans="1:109" s="1" customFormat="1" ht="25.5">
      <c r="A29" s="212"/>
      <c r="B29" s="177" t="s">
        <v>109</v>
      </c>
      <c r="C29" s="117" t="s">
        <v>124</v>
      </c>
      <c r="D29" s="192"/>
      <c r="E29" s="193"/>
      <c r="F29" s="193"/>
      <c r="G29" s="193"/>
      <c r="H29" s="194"/>
      <c r="I29" s="194"/>
      <c r="J29" s="194"/>
      <c r="K29" s="194"/>
      <c r="L29" s="195"/>
      <c r="M29" s="195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77" t="s">
        <v>78</v>
      </c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113"/>
      <c r="BD29" s="113"/>
      <c r="BE29" s="113"/>
      <c r="BF29" s="113"/>
      <c r="BG29" s="113"/>
      <c r="BH29" s="113"/>
      <c r="BI29" s="113">
        <f>BI30</f>
        <v>50000</v>
      </c>
      <c r="BJ29" s="113">
        <f t="shared" ref="BJ29:BL29" si="53">BJ30</f>
        <v>0</v>
      </c>
      <c r="BK29" s="113">
        <f t="shared" si="53"/>
        <v>0</v>
      </c>
      <c r="BL29" s="113">
        <f t="shared" si="53"/>
        <v>0</v>
      </c>
      <c r="BM29" s="113">
        <f t="shared" si="51"/>
        <v>50000</v>
      </c>
      <c r="BN29" s="104"/>
      <c r="BO29" s="105"/>
      <c r="BP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</row>
    <row r="30" spans="1:109" s="1" customFormat="1" ht="32.25" customHeight="1">
      <c r="A30" s="212"/>
      <c r="B30" s="177"/>
      <c r="C30" s="150" t="s">
        <v>249</v>
      </c>
      <c r="D30" s="192"/>
      <c r="E30" s="193"/>
      <c r="F30" s="193"/>
      <c r="G30" s="193"/>
      <c r="H30" s="194"/>
      <c r="I30" s="194"/>
      <c r="J30" s="194"/>
      <c r="K30" s="194"/>
      <c r="L30" s="195"/>
      <c r="M30" s="195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430"/>
      <c r="AE30" s="128"/>
      <c r="AF30" s="128"/>
      <c r="AG30" s="128"/>
      <c r="AH30" s="128"/>
      <c r="AI30" s="128"/>
      <c r="AJ30" s="128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>
        <v>50000</v>
      </c>
      <c r="BJ30" s="128"/>
      <c r="BK30" s="128"/>
      <c r="BL30" s="128">
        <v>0</v>
      </c>
      <c r="BM30" s="128">
        <f t="shared" si="51"/>
        <v>50000</v>
      </c>
      <c r="BN30" s="104"/>
      <c r="BO30" s="105"/>
      <c r="BP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</row>
    <row r="31" spans="1:109" s="1" customFormat="1" ht="15">
      <c r="A31" s="479" t="s">
        <v>11</v>
      </c>
      <c r="B31" s="479"/>
      <c r="C31" s="479"/>
      <c r="D31" s="131"/>
      <c r="E31" s="133"/>
      <c r="F31" s="133"/>
      <c r="G31" s="133"/>
      <c r="H31" s="134"/>
      <c r="I31" s="134"/>
      <c r="J31" s="134"/>
      <c r="K31" s="134"/>
      <c r="L31" s="135"/>
      <c r="M31" s="135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2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>
        <f>BI25+BI27+BI29</f>
        <v>500000</v>
      </c>
      <c r="BJ31" s="114">
        <f>BJ25+BJ27+BJ29</f>
        <v>0</v>
      </c>
      <c r="BK31" s="114">
        <f>BK25+BK27+BK29</f>
        <v>0</v>
      </c>
      <c r="BL31" s="114">
        <f>BL25+BL27+BL29</f>
        <v>0</v>
      </c>
      <c r="BM31" s="114">
        <f>BI31+BL31</f>
        <v>500000</v>
      </c>
      <c r="BN31" s="104"/>
      <c r="BO31" s="105"/>
      <c r="BP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</row>
    <row r="32" spans="1:109" s="1" customFormat="1" ht="25.5">
      <c r="A32" s="177" t="s">
        <v>132</v>
      </c>
      <c r="B32" s="177" t="s">
        <v>108</v>
      </c>
      <c r="C32" s="117" t="s">
        <v>123</v>
      </c>
      <c r="D32" s="192"/>
      <c r="E32" s="193"/>
      <c r="F32" s="193"/>
      <c r="G32" s="193"/>
      <c r="H32" s="194"/>
      <c r="I32" s="194"/>
      <c r="J32" s="194"/>
      <c r="K32" s="194"/>
      <c r="L32" s="195"/>
      <c r="M32" s="195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77" t="s">
        <v>78</v>
      </c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>
        <f>BI33</f>
        <v>17000</v>
      </c>
      <c r="BJ32" s="113">
        <f t="shared" ref="BJ32:BL32" si="54">BJ33</f>
        <v>0</v>
      </c>
      <c r="BK32" s="113">
        <f t="shared" si="54"/>
        <v>0</v>
      </c>
      <c r="BL32" s="113">
        <f t="shared" si="54"/>
        <v>0</v>
      </c>
      <c r="BM32" s="113">
        <f>BI32+BL32</f>
        <v>17000</v>
      </c>
      <c r="BN32" s="104"/>
      <c r="BO32" s="105"/>
      <c r="BP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</row>
    <row r="33" spans="1:109" s="1" customFormat="1" ht="25.5">
      <c r="A33" s="430"/>
      <c r="B33" s="430"/>
      <c r="C33" s="150" t="s">
        <v>248</v>
      </c>
      <c r="D33" s="192"/>
      <c r="E33" s="193"/>
      <c r="F33" s="193"/>
      <c r="G33" s="193"/>
      <c r="H33" s="194"/>
      <c r="I33" s="194"/>
      <c r="J33" s="194"/>
      <c r="K33" s="194"/>
      <c r="L33" s="195"/>
      <c r="M33" s="195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28"/>
      <c r="AD33" s="430"/>
      <c r="AE33" s="128"/>
      <c r="AF33" s="128"/>
      <c r="AG33" s="128"/>
      <c r="AH33" s="128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128"/>
      <c r="AX33" s="128"/>
      <c r="AY33" s="128"/>
      <c r="AZ33" s="128"/>
      <c r="BA33" s="128"/>
      <c r="BB33" s="128"/>
      <c r="BC33" s="128"/>
      <c r="BD33" s="128"/>
      <c r="BE33" s="128"/>
      <c r="BF33" s="128"/>
      <c r="BG33" s="128"/>
      <c r="BH33" s="128"/>
      <c r="BI33" s="128">
        <v>17000</v>
      </c>
      <c r="BJ33" s="128"/>
      <c r="BK33" s="128"/>
      <c r="BL33" s="128">
        <v>0</v>
      </c>
      <c r="BM33" s="128">
        <f t="shared" ref="BM33:BM35" si="55">BI33+BL33</f>
        <v>17000</v>
      </c>
      <c r="BN33" s="104"/>
      <c r="BO33" s="105"/>
      <c r="BP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</row>
    <row r="34" spans="1:109" s="1" customFormat="1" ht="25.5">
      <c r="A34" s="177" t="s">
        <v>259</v>
      </c>
      <c r="B34" s="177" t="s">
        <v>109</v>
      </c>
      <c r="C34" s="117" t="s">
        <v>124</v>
      </c>
      <c r="D34" s="192"/>
      <c r="E34" s="193"/>
      <c r="F34" s="193"/>
      <c r="G34" s="193"/>
      <c r="H34" s="194"/>
      <c r="I34" s="194"/>
      <c r="J34" s="194"/>
      <c r="K34" s="194"/>
      <c r="L34" s="195"/>
      <c r="M34" s="195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77" t="s">
        <v>78</v>
      </c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>
        <f>BI35</f>
        <v>3000</v>
      </c>
      <c r="BJ34" s="113">
        <f t="shared" ref="BJ34:BL34" si="56">BJ35</f>
        <v>0</v>
      </c>
      <c r="BK34" s="113">
        <f t="shared" si="56"/>
        <v>0</v>
      </c>
      <c r="BL34" s="113">
        <f t="shared" si="56"/>
        <v>0</v>
      </c>
      <c r="BM34" s="113">
        <f t="shared" si="55"/>
        <v>3000</v>
      </c>
      <c r="BN34" s="104"/>
      <c r="BO34" s="105"/>
      <c r="BP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</row>
    <row r="35" spans="1:109" s="1" customFormat="1" ht="30" customHeight="1">
      <c r="A35" s="177"/>
      <c r="B35" s="177"/>
      <c r="C35" s="150" t="s">
        <v>249</v>
      </c>
      <c r="D35" s="192"/>
      <c r="E35" s="193"/>
      <c r="F35" s="193"/>
      <c r="G35" s="193"/>
      <c r="H35" s="194"/>
      <c r="I35" s="194"/>
      <c r="J35" s="194"/>
      <c r="K35" s="194"/>
      <c r="L35" s="195"/>
      <c r="M35" s="195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430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  <c r="AY35" s="128"/>
      <c r="AZ35" s="128"/>
      <c r="BA35" s="128"/>
      <c r="BB35" s="128"/>
      <c r="BC35" s="128"/>
      <c r="BD35" s="128"/>
      <c r="BE35" s="128"/>
      <c r="BF35" s="128"/>
      <c r="BG35" s="128"/>
      <c r="BH35" s="128"/>
      <c r="BI35" s="128">
        <v>3000</v>
      </c>
      <c r="BJ35" s="128"/>
      <c r="BK35" s="128"/>
      <c r="BL35" s="128">
        <v>0</v>
      </c>
      <c r="BM35" s="128">
        <f t="shared" si="55"/>
        <v>3000</v>
      </c>
      <c r="BN35" s="104"/>
      <c r="BO35" s="105"/>
      <c r="BP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</row>
    <row r="36" spans="1:109" s="1" customFormat="1" ht="15">
      <c r="A36" s="479" t="s">
        <v>11</v>
      </c>
      <c r="B36" s="479"/>
      <c r="C36" s="479"/>
      <c r="D36" s="131"/>
      <c r="E36" s="133"/>
      <c r="F36" s="133"/>
      <c r="G36" s="133"/>
      <c r="H36" s="134"/>
      <c r="I36" s="134"/>
      <c r="J36" s="134"/>
      <c r="K36" s="134"/>
      <c r="L36" s="135"/>
      <c r="M36" s="135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2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>
        <f>BI32+BI34</f>
        <v>20000</v>
      </c>
      <c r="BJ36" s="114">
        <f t="shared" ref="BJ36:BL36" si="57">BJ32+BJ34</f>
        <v>0</v>
      </c>
      <c r="BK36" s="114">
        <f t="shared" si="57"/>
        <v>0</v>
      </c>
      <c r="BL36" s="114">
        <f t="shared" si="57"/>
        <v>0</v>
      </c>
      <c r="BM36" s="114">
        <f>BI36+BL36</f>
        <v>20000</v>
      </c>
      <c r="BN36" s="104"/>
      <c r="BO36" s="105"/>
      <c r="BP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</row>
    <row r="37" spans="1:109" s="198" customFormat="1" ht="16.5" customHeight="1">
      <c r="A37" s="182" t="s">
        <v>71</v>
      </c>
      <c r="B37" s="129">
        <v>211</v>
      </c>
      <c r="C37" s="117" t="s">
        <v>83</v>
      </c>
      <c r="D37" s="187"/>
      <c r="E37" s="187"/>
      <c r="F37" s="187"/>
      <c r="G37" s="125"/>
      <c r="H37" s="125"/>
      <c r="I37" s="125"/>
      <c r="J37" s="125"/>
      <c r="K37" s="187"/>
      <c r="L37" s="187"/>
      <c r="M37" s="187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77" t="s">
        <v>79</v>
      </c>
      <c r="AE37" s="113"/>
      <c r="AF37" s="113"/>
      <c r="AG37" s="113"/>
      <c r="AH37" s="113"/>
      <c r="AI37" s="113">
        <f t="shared" ref="AI37:AI38" si="58">AG37+AH37</f>
        <v>0</v>
      </c>
      <c r="AJ37" s="113">
        <v>236908.9</v>
      </c>
      <c r="AK37" s="113">
        <f t="shared" ref="AK37:AK38" si="59">AI37+AJ37</f>
        <v>236908.9</v>
      </c>
      <c r="AL37" s="113"/>
      <c r="AM37" s="113">
        <f t="shared" ref="AM37:AM38" si="60">AK37+AL37</f>
        <v>236908.9</v>
      </c>
      <c r="AN37" s="113"/>
      <c r="AO37" s="113">
        <f t="shared" ref="AO37:AO38" si="61">AM37+AN37</f>
        <v>236908.9</v>
      </c>
      <c r="AP37" s="113"/>
      <c r="AQ37" s="113">
        <f t="shared" ref="AQ37:AQ38" si="62">AO37+AP37</f>
        <v>236908.9</v>
      </c>
      <c r="AR37" s="113"/>
      <c r="AS37" s="113">
        <f t="shared" ref="AS37:AS38" si="63">AQ37+AR37</f>
        <v>236908.9</v>
      </c>
      <c r="AT37" s="113"/>
      <c r="AU37" s="113">
        <f t="shared" ref="AU37:AU38" si="64">AS37+AT37</f>
        <v>236908.9</v>
      </c>
      <c r="AV37" s="113"/>
      <c r="AW37" s="113">
        <v>236908.9</v>
      </c>
      <c r="AX37" s="113"/>
      <c r="AY37" s="113">
        <f t="shared" ref="AY37:AY47" si="65">AX37+AW37</f>
        <v>236908.9</v>
      </c>
      <c r="AZ37" s="113"/>
      <c r="BA37" s="113">
        <f>AZ37+AY37</f>
        <v>236908.9</v>
      </c>
      <c r="BB37" s="113"/>
      <c r="BC37" s="113">
        <f>BB37+BA37</f>
        <v>236908.9</v>
      </c>
      <c r="BD37" s="113"/>
      <c r="BE37" s="113">
        <f>BC37+BD37</f>
        <v>236908.9</v>
      </c>
      <c r="BF37" s="113"/>
      <c r="BG37" s="113">
        <f>BE37+BF37</f>
        <v>236908.9</v>
      </c>
      <c r="BH37" s="113"/>
      <c r="BI37" s="113">
        <v>236908</v>
      </c>
      <c r="BJ37" s="113">
        <v>236908</v>
      </c>
      <c r="BK37" s="113">
        <v>236908</v>
      </c>
      <c r="BL37" s="113">
        <v>0</v>
      </c>
      <c r="BM37" s="113">
        <f>BI37+BL37</f>
        <v>236908</v>
      </c>
      <c r="BN37" s="197"/>
      <c r="BO37" s="197"/>
      <c r="BP37" s="197"/>
      <c r="BQ37" s="197"/>
      <c r="BR37" s="197"/>
      <c r="BS37" s="197"/>
      <c r="BT37" s="197"/>
      <c r="BU37" s="197"/>
      <c r="BV37" s="197"/>
      <c r="BW37" s="197"/>
      <c r="BX37" s="197"/>
      <c r="BY37" s="197"/>
      <c r="BZ37" s="197"/>
      <c r="CA37" s="197"/>
      <c r="CB37" s="197"/>
      <c r="CC37" s="197"/>
      <c r="CD37" s="197"/>
      <c r="CE37" s="197"/>
      <c r="CF37" s="197"/>
      <c r="CG37" s="197"/>
      <c r="CH37" s="197"/>
      <c r="CI37" s="197"/>
      <c r="CJ37" s="197"/>
      <c r="CK37" s="197"/>
      <c r="CL37" s="197"/>
      <c r="CM37" s="197"/>
      <c r="CN37" s="197"/>
      <c r="CO37" s="197"/>
      <c r="CP37" s="197"/>
      <c r="CQ37" s="197"/>
      <c r="CR37" s="197"/>
    </row>
    <row r="38" spans="1:109" s="99" customFormat="1" ht="26.25" customHeight="1">
      <c r="A38" s="90"/>
      <c r="B38" s="140">
        <v>213</v>
      </c>
      <c r="C38" s="151" t="s">
        <v>84</v>
      </c>
      <c r="D38" s="141"/>
      <c r="E38" s="141"/>
      <c r="F38" s="141"/>
      <c r="G38" s="142"/>
      <c r="H38" s="142"/>
      <c r="I38" s="142"/>
      <c r="J38" s="142"/>
      <c r="K38" s="141"/>
      <c r="L38" s="141"/>
      <c r="M38" s="141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3" t="s">
        <v>80</v>
      </c>
      <c r="AE38" s="165"/>
      <c r="AF38" s="165"/>
      <c r="AG38" s="165"/>
      <c r="AH38" s="165"/>
      <c r="AI38" s="165">
        <f t="shared" si="58"/>
        <v>0</v>
      </c>
      <c r="AJ38" s="165">
        <v>71546.490000000005</v>
      </c>
      <c r="AK38" s="165">
        <f t="shared" si="59"/>
        <v>71546.490000000005</v>
      </c>
      <c r="AL38" s="165"/>
      <c r="AM38" s="165">
        <f t="shared" si="60"/>
        <v>71546.490000000005</v>
      </c>
      <c r="AN38" s="165"/>
      <c r="AO38" s="165">
        <f t="shared" si="61"/>
        <v>71546.490000000005</v>
      </c>
      <c r="AP38" s="165"/>
      <c r="AQ38" s="165">
        <f t="shared" si="62"/>
        <v>71546.490000000005</v>
      </c>
      <c r="AR38" s="165"/>
      <c r="AS38" s="165">
        <f t="shared" si="63"/>
        <v>71546.490000000005</v>
      </c>
      <c r="AT38" s="165"/>
      <c r="AU38" s="165">
        <f t="shared" si="64"/>
        <v>71546.490000000005</v>
      </c>
      <c r="AV38" s="165"/>
      <c r="AW38" s="144">
        <v>71546.490000000005</v>
      </c>
      <c r="AX38" s="144"/>
      <c r="AY38" s="144">
        <f t="shared" si="65"/>
        <v>71546.490000000005</v>
      </c>
      <c r="AZ38" s="144"/>
      <c r="BA38" s="144">
        <f>AZ38+AY38</f>
        <v>71546.490000000005</v>
      </c>
      <c r="BB38" s="144"/>
      <c r="BC38" s="144">
        <f>BB38+BA38</f>
        <v>71546.490000000005</v>
      </c>
      <c r="BD38" s="144"/>
      <c r="BE38" s="144">
        <f t="shared" ref="BE38" si="66">BC38+BD38</f>
        <v>71546.490000000005</v>
      </c>
      <c r="BF38" s="144"/>
      <c r="BG38" s="144">
        <f t="shared" ref="BG38" si="67">BE38+BF38</f>
        <v>71546.490000000005</v>
      </c>
      <c r="BH38" s="144"/>
      <c r="BI38" s="144">
        <v>71546</v>
      </c>
      <c r="BJ38" s="144">
        <v>71546</v>
      </c>
      <c r="BK38" s="144">
        <v>71546</v>
      </c>
      <c r="BL38" s="144">
        <v>0</v>
      </c>
      <c r="BM38" s="113">
        <f t="shared" ref="BM38:BM76" si="68">BI38+BL38</f>
        <v>71546</v>
      </c>
      <c r="BN38" s="96"/>
      <c r="BO38" s="96"/>
      <c r="BP38" s="96"/>
      <c r="BQ38" s="96"/>
      <c r="BR38" s="96"/>
      <c r="BS38" s="96"/>
      <c r="BT38" s="96"/>
      <c r="BU38" s="96"/>
      <c r="BV38" s="96"/>
      <c r="BW38" s="96"/>
      <c r="BX38" s="96"/>
      <c r="BY38" s="96"/>
      <c r="BZ38" s="96"/>
      <c r="CA38" s="96"/>
      <c r="CB38" s="96"/>
      <c r="CC38" s="96"/>
      <c r="CD38" s="96"/>
      <c r="CE38" s="96"/>
      <c r="CF38" s="96"/>
      <c r="CG38" s="96"/>
      <c r="CH38" s="96"/>
      <c r="CI38" s="96"/>
      <c r="CJ38" s="96"/>
      <c r="CK38" s="96"/>
      <c r="CL38" s="96"/>
      <c r="CM38" s="96"/>
      <c r="CN38" s="96"/>
      <c r="CO38" s="96"/>
      <c r="CP38" s="96"/>
      <c r="CQ38" s="96"/>
      <c r="CR38" s="96"/>
    </row>
    <row r="39" spans="1:109" s="216" customFormat="1">
      <c r="A39" s="269"/>
      <c r="B39" s="177">
        <v>222</v>
      </c>
      <c r="C39" s="152" t="s">
        <v>5</v>
      </c>
      <c r="D39" s="176" t="e">
        <f>#REF!</f>
        <v>#REF!</v>
      </c>
      <c r="E39" s="176" t="e">
        <f>D39</f>
        <v>#REF!</v>
      </c>
      <c r="F39" s="176" t="e">
        <f>E39</f>
        <v>#REF!</v>
      </c>
      <c r="G39" s="128"/>
      <c r="H39" s="113" t="e">
        <f>D39+G39</f>
        <v>#REF!</v>
      </c>
      <c r="I39" s="113"/>
      <c r="J39" s="113" t="e">
        <f>H39+I39</f>
        <v>#REF!</v>
      </c>
      <c r="K39" s="176">
        <v>4500</v>
      </c>
      <c r="L39" s="176"/>
      <c r="M39" s="176"/>
      <c r="N39" s="113" t="e">
        <f>J39+M39</f>
        <v>#REF!</v>
      </c>
      <c r="O39" s="113"/>
      <c r="P39" s="113" t="e">
        <f>N39+O39</f>
        <v>#REF!</v>
      </c>
      <c r="Q39" s="113"/>
      <c r="R39" s="113" t="e">
        <f>P39+Q39</f>
        <v>#REF!</v>
      </c>
      <c r="S39" s="113"/>
      <c r="T39" s="113" t="e">
        <f>R39+S39</f>
        <v>#REF!</v>
      </c>
      <c r="U39" s="113"/>
      <c r="V39" s="113" t="e">
        <f>T39+U39</f>
        <v>#REF!</v>
      </c>
      <c r="W39" s="113"/>
      <c r="X39" s="113" t="e">
        <f>V39+W39</f>
        <v>#REF!</v>
      </c>
      <c r="Y39" s="113"/>
      <c r="Z39" s="113" t="e">
        <f>X39+Y39</f>
        <v>#REF!</v>
      </c>
      <c r="AA39" s="113"/>
      <c r="AB39" s="113" t="e">
        <f>Z39+AA39</f>
        <v>#REF!</v>
      </c>
      <c r="AC39" s="113"/>
      <c r="AD39" s="177">
        <v>244</v>
      </c>
      <c r="AE39" s="113" t="e">
        <f>#REF!+#REF!</f>
        <v>#REF!</v>
      </c>
      <c r="AF39" s="113"/>
      <c r="AG39" s="113" t="e">
        <f>AE39+AF39</f>
        <v>#REF!</v>
      </c>
      <c r="AH39" s="113"/>
      <c r="AI39" s="113" t="e">
        <f>AG39+AH39</f>
        <v>#REF!</v>
      </c>
      <c r="AJ39" s="113"/>
      <c r="AK39" s="113" t="e">
        <f>AI39+AJ39</f>
        <v>#REF!</v>
      </c>
      <c r="AL39" s="113"/>
      <c r="AM39" s="113" t="e">
        <f>AK39+AL39</f>
        <v>#REF!</v>
      </c>
      <c r="AN39" s="113"/>
      <c r="AO39" s="113" t="e">
        <f>AM39+AN39</f>
        <v>#REF!</v>
      </c>
      <c r="AP39" s="113"/>
      <c r="AQ39" s="113" t="e">
        <f>AO39+AP39</f>
        <v>#REF!</v>
      </c>
      <c r="AR39" s="113"/>
      <c r="AS39" s="113" t="e">
        <f>AQ39+AR39</f>
        <v>#REF!</v>
      </c>
      <c r="AT39" s="113"/>
      <c r="AU39" s="113" t="e">
        <f>AS39+AT39</f>
        <v>#REF!</v>
      </c>
      <c r="AV39" s="113"/>
      <c r="AW39" s="113" t="e">
        <f>SUM(#REF!)</f>
        <v>#REF!</v>
      </c>
      <c r="AX39" s="113"/>
      <c r="AY39" s="113" t="e">
        <f t="shared" si="65"/>
        <v>#REF!</v>
      </c>
      <c r="AZ39" s="113"/>
      <c r="BA39" s="113" t="e">
        <f>#REF!+#REF!+#REF!+#REF!+#REF!+#REF!</f>
        <v>#REF!</v>
      </c>
      <c r="BB39" s="113" t="e">
        <f>#REF!+#REF!+#REF!+#REF!+#REF!+#REF!</f>
        <v>#REF!</v>
      </c>
      <c r="BC39" s="113" t="e">
        <f>#REF!+#REF!+#REF!+#REF!+#REF!+#REF!</f>
        <v>#REF!</v>
      </c>
      <c r="BD39" s="113" t="e">
        <f>#REF!+#REF!+#REF!+#REF!+#REF!+#REF!</f>
        <v>#REF!</v>
      </c>
      <c r="BE39" s="113" t="e">
        <f>#REF!+#REF!+#REF!+#REF!+#REF!+#REF!</f>
        <v>#REF!</v>
      </c>
      <c r="BF39" s="113"/>
      <c r="BG39" s="113" t="e">
        <f>#REF!+#REF!+#REF!+#REF!+#REF!+#REF!</f>
        <v>#REF!</v>
      </c>
      <c r="BH39" s="113"/>
      <c r="BI39" s="113">
        <f>BI40+BI41+BI42+BI43+BI44+BI45+BI46</f>
        <v>126516</v>
      </c>
      <c r="BJ39" s="113">
        <f t="shared" ref="BJ39:BK39" si="69">BJ40+BJ41+BJ42+BJ43+BJ44+BJ45+BJ46</f>
        <v>0</v>
      </c>
      <c r="BK39" s="113">
        <f t="shared" si="69"/>
        <v>0</v>
      </c>
      <c r="BL39" s="113">
        <v>0</v>
      </c>
      <c r="BM39" s="113">
        <f t="shared" si="68"/>
        <v>126516</v>
      </c>
      <c r="BN39" s="215"/>
      <c r="BO39" s="215"/>
      <c r="BP39" s="215"/>
      <c r="BQ39" s="215"/>
      <c r="BR39" s="215"/>
      <c r="BS39" s="215"/>
      <c r="BT39" s="215"/>
      <c r="BU39" s="215"/>
      <c r="BV39" s="215"/>
      <c r="BW39" s="215"/>
      <c r="BX39" s="215"/>
      <c r="BY39" s="215"/>
      <c r="BZ39" s="215"/>
      <c r="CA39" s="215"/>
      <c r="CB39" s="215"/>
      <c r="CC39" s="215"/>
      <c r="CD39" s="215"/>
      <c r="CE39" s="215"/>
      <c r="CF39" s="215"/>
      <c r="CG39" s="215"/>
      <c r="CH39" s="215"/>
      <c r="CI39" s="215"/>
      <c r="CJ39" s="215"/>
      <c r="CK39" s="215"/>
      <c r="CL39" s="215"/>
      <c r="CM39" s="215"/>
      <c r="CN39" s="215"/>
      <c r="CO39" s="215"/>
      <c r="CP39" s="215"/>
      <c r="CQ39" s="215"/>
      <c r="CR39" s="215"/>
    </row>
    <row r="40" spans="1:109" s="216" customFormat="1">
      <c r="A40" s="269"/>
      <c r="B40" s="177"/>
      <c r="C40" s="258" t="s">
        <v>135</v>
      </c>
      <c r="D40" s="176"/>
      <c r="E40" s="176"/>
      <c r="F40" s="176"/>
      <c r="G40" s="128"/>
      <c r="H40" s="113"/>
      <c r="I40" s="113"/>
      <c r="J40" s="113"/>
      <c r="K40" s="176"/>
      <c r="L40" s="176"/>
      <c r="M40" s="176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77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28">
        <v>35000</v>
      </c>
      <c r="BJ40" s="128"/>
      <c r="BK40" s="128"/>
      <c r="BL40" s="128">
        <v>0</v>
      </c>
      <c r="BM40" s="128">
        <f t="shared" si="68"/>
        <v>35000</v>
      </c>
      <c r="BN40" s="215"/>
      <c r="BO40" s="215"/>
      <c r="BP40" s="215"/>
      <c r="BQ40" s="215"/>
      <c r="BR40" s="215"/>
      <c r="BS40" s="215"/>
      <c r="BT40" s="215"/>
      <c r="BU40" s="215"/>
      <c r="BV40" s="215"/>
      <c r="BW40" s="215"/>
      <c r="BX40" s="215"/>
      <c r="BY40" s="215"/>
      <c r="BZ40" s="215"/>
      <c r="CA40" s="215"/>
      <c r="CB40" s="215"/>
      <c r="CC40" s="215"/>
      <c r="CD40" s="215"/>
      <c r="CE40" s="215"/>
      <c r="CF40" s="215"/>
      <c r="CG40" s="215"/>
      <c r="CH40" s="215"/>
      <c r="CI40" s="215"/>
      <c r="CJ40" s="215"/>
      <c r="CK40" s="215"/>
      <c r="CL40" s="215"/>
      <c r="CM40" s="215"/>
      <c r="CN40" s="215"/>
      <c r="CO40" s="215"/>
      <c r="CP40" s="215"/>
      <c r="CQ40" s="215"/>
      <c r="CR40" s="215"/>
    </row>
    <row r="41" spans="1:109" s="216" customFormat="1">
      <c r="A41" s="269"/>
      <c r="B41" s="177"/>
      <c r="C41" s="258" t="s">
        <v>136</v>
      </c>
      <c r="D41" s="176"/>
      <c r="E41" s="176"/>
      <c r="F41" s="176"/>
      <c r="G41" s="128"/>
      <c r="H41" s="113"/>
      <c r="I41" s="113"/>
      <c r="J41" s="113"/>
      <c r="K41" s="176"/>
      <c r="L41" s="176"/>
      <c r="M41" s="176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77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28">
        <v>10000</v>
      </c>
      <c r="BJ41" s="128"/>
      <c r="BK41" s="128"/>
      <c r="BL41" s="128">
        <v>0</v>
      </c>
      <c r="BM41" s="128">
        <f t="shared" si="68"/>
        <v>10000</v>
      </c>
      <c r="BN41" s="215"/>
      <c r="BO41" s="215"/>
      <c r="BP41" s="215"/>
      <c r="BQ41" s="215"/>
      <c r="BR41" s="215"/>
      <c r="BS41" s="215"/>
      <c r="BT41" s="215"/>
      <c r="BU41" s="215"/>
      <c r="BV41" s="215"/>
      <c r="BW41" s="215"/>
      <c r="BX41" s="215"/>
      <c r="BY41" s="215"/>
      <c r="BZ41" s="215"/>
      <c r="CA41" s="215"/>
      <c r="CB41" s="215"/>
      <c r="CC41" s="215"/>
      <c r="CD41" s="215"/>
      <c r="CE41" s="215"/>
      <c r="CF41" s="215"/>
      <c r="CG41" s="215"/>
      <c r="CH41" s="215"/>
      <c r="CI41" s="215"/>
      <c r="CJ41" s="215"/>
      <c r="CK41" s="215"/>
      <c r="CL41" s="215"/>
      <c r="CM41" s="215"/>
      <c r="CN41" s="215"/>
      <c r="CO41" s="215"/>
      <c r="CP41" s="215"/>
      <c r="CQ41" s="215"/>
      <c r="CR41" s="215"/>
    </row>
    <row r="42" spans="1:109" s="216" customFormat="1" ht="25.5">
      <c r="A42" s="269"/>
      <c r="B42" s="177"/>
      <c r="C42" s="258" t="s">
        <v>137</v>
      </c>
      <c r="D42" s="176"/>
      <c r="E42" s="176"/>
      <c r="F42" s="176"/>
      <c r="G42" s="128"/>
      <c r="H42" s="113"/>
      <c r="I42" s="113"/>
      <c r="J42" s="113"/>
      <c r="K42" s="176"/>
      <c r="L42" s="176"/>
      <c r="M42" s="176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77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  <c r="BF42" s="113"/>
      <c r="BG42" s="113"/>
      <c r="BH42" s="113"/>
      <c r="BI42" s="128">
        <v>20100</v>
      </c>
      <c r="BJ42" s="128"/>
      <c r="BK42" s="128"/>
      <c r="BL42" s="128">
        <v>0</v>
      </c>
      <c r="BM42" s="128">
        <f t="shared" si="68"/>
        <v>20100</v>
      </c>
      <c r="BN42" s="215"/>
      <c r="BO42" s="215"/>
      <c r="BP42" s="215"/>
      <c r="BQ42" s="215"/>
      <c r="BR42" s="215"/>
      <c r="BS42" s="215"/>
      <c r="BT42" s="215"/>
      <c r="BU42" s="215"/>
      <c r="BV42" s="215"/>
      <c r="BW42" s="215"/>
      <c r="BX42" s="215"/>
      <c r="BY42" s="215"/>
      <c r="BZ42" s="215"/>
      <c r="CA42" s="215"/>
      <c r="CB42" s="215"/>
      <c r="CC42" s="215"/>
      <c r="CD42" s="215"/>
      <c r="CE42" s="215"/>
      <c r="CF42" s="215"/>
      <c r="CG42" s="215"/>
      <c r="CH42" s="215"/>
      <c r="CI42" s="215"/>
      <c r="CJ42" s="215"/>
      <c r="CK42" s="215"/>
      <c r="CL42" s="215"/>
      <c r="CM42" s="215"/>
      <c r="CN42" s="215"/>
      <c r="CO42" s="215"/>
      <c r="CP42" s="215"/>
      <c r="CQ42" s="215"/>
      <c r="CR42" s="215"/>
    </row>
    <row r="43" spans="1:109" s="216" customFormat="1">
      <c r="A43" s="269"/>
      <c r="B43" s="177"/>
      <c r="C43" s="258" t="s">
        <v>138</v>
      </c>
      <c r="D43" s="176"/>
      <c r="E43" s="176"/>
      <c r="F43" s="176"/>
      <c r="G43" s="128"/>
      <c r="H43" s="113"/>
      <c r="I43" s="113"/>
      <c r="J43" s="113"/>
      <c r="K43" s="176"/>
      <c r="L43" s="176"/>
      <c r="M43" s="176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77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  <c r="BI43" s="128">
        <v>8400</v>
      </c>
      <c r="BJ43" s="128"/>
      <c r="BK43" s="128"/>
      <c r="BL43" s="128">
        <v>0</v>
      </c>
      <c r="BM43" s="128">
        <f t="shared" si="68"/>
        <v>8400</v>
      </c>
      <c r="BN43" s="215"/>
      <c r="BO43" s="215"/>
      <c r="BP43" s="215"/>
      <c r="BQ43" s="215"/>
      <c r="BR43" s="215"/>
      <c r="BS43" s="215"/>
      <c r="BT43" s="215"/>
      <c r="BU43" s="215"/>
      <c r="BV43" s="215"/>
      <c r="BW43" s="215"/>
      <c r="BX43" s="215"/>
      <c r="BY43" s="215"/>
      <c r="BZ43" s="215"/>
      <c r="CA43" s="215"/>
      <c r="CB43" s="215"/>
      <c r="CC43" s="215"/>
      <c r="CD43" s="215"/>
      <c r="CE43" s="215"/>
      <c r="CF43" s="215"/>
      <c r="CG43" s="215"/>
      <c r="CH43" s="215"/>
      <c r="CI43" s="215"/>
      <c r="CJ43" s="215"/>
      <c r="CK43" s="215"/>
      <c r="CL43" s="215"/>
      <c r="CM43" s="215"/>
      <c r="CN43" s="215"/>
      <c r="CO43" s="215"/>
      <c r="CP43" s="215"/>
      <c r="CQ43" s="215"/>
      <c r="CR43" s="215"/>
    </row>
    <row r="44" spans="1:109" s="216" customFormat="1" ht="38.25">
      <c r="A44" s="269"/>
      <c r="B44" s="177"/>
      <c r="C44" s="258" t="s">
        <v>139</v>
      </c>
      <c r="D44" s="176"/>
      <c r="E44" s="176"/>
      <c r="F44" s="176"/>
      <c r="G44" s="128"/>
      <c r="H44" s="113"/>
      <c r="I44" s="113"/>
      <c r="J44" s="113"/>
      <c r="K44" s="176"/>
      <c r="L44" s="176"/>
      <c r="M44" s="176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77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28">
        <v>5000</v>
      </c>
      <c r="BJ44" s="128"/>
      <c r="BK44" s="128"/>
      <c r="BL44" s="128">
        <v>0</v>
      </c>
      <c r="BM44" s="128">
        <f t="shared" si="68"/>
        <v>5000</v>
      </c>
      <c r="BN44" s="215"/>
      <c r="BO44" s="215"/>
      <c r="BP44" s="215"/>
      <c r="BQ44" s="215"/>
      <c r="BR44" s="215"/>
      <c r="BS44" s="215"/>
      <c r="BT44" s="215"/>
      <c r="BU44" s="215"/>
      <c r="BV44" s="215"/>
      <c r="BW44" s="215"/>
      <c r="BX44" s="215"/>
      <c r="BY44" s="215"/>
      <c r="BZ44" s="215"/>
      <c r="CA44" s="215"/>
      <c r="CB44" s="215"/>
      <c r="CC44" s="215"/>
      <c r="CD44" s="215"/>
      <c r="CE44" s="215"/>
      <c r="CF44" s="215"/>
      <c r="CG44" s="215"/>
      <c r="CH44" s="215"/>
      <c r="CI44" s="215"/>
      <c r="CJ44" s="215"/>
      <c r="CK44" s="215"/>
      <c r="CL44" s="215"/>
      <c r="CM44" s="215"/>
      <c r="CN44" s="215"/>
      <c r="CO44" s="215"/>
      <c r="CP44" s="215"/>
      <c r="CQ44" s="215"/>
      <c r="CR44" s="215"/>
    </row>
    <row r="45" spans="1:109" s="216" customFormat="1" ht="25.5">
      <c r="A45" s="269"/>
      <c r="B45" s="177"/>
      <c r="C45" s="258" t="s">
        <v>140</v>
      </c>
      <c r="D45" s="176"/>
      <c r="E45" s="176"/>
      <c r="F45" s="176"/>
      <c r="G45" s="128"/>
      <c r="H45" s="113"/>
      <c r="I45" s="113"/>
      <c r="J45" s="113"/>
      <c r="K45" s="176"/>
      <c r="L45" s="176"/>
      <c r="M45" s="176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77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28">
        <v>31516</v>
      </c>
      <c r="BJ45" s="128"/>
      <c r="BK45" s="128"/>
      <c r="BL45" s="128">
        <v>0</v>
      </c>
      <c r="BM45" s="128">
        <f t="shared" si="68"/>
        <v>31516</v>
      </c>
      <c r="BN45" s="215"/>
      <c r="BO45" s="215"/>
      <c r="BP45" s="215"/>
      <c r="BQ45" s="215"/>
      <c r="BR45" s="215"/>
      <c r="BS45" s="215"/>
      <c r="BT45" s="215"/>
      <c r="BU45" s="215"/>
      <c r="BV45" s="215"/>
      <c r="BW45" s="215"/>
      <c r="BX45" s="215"/>
      <c r="BY45" s="215"/>
      <c r="BZ45" s="215"/>
      <c r="CA45" s="215"/>
      <c r="CB45" s="215"/>
      <c r="CC45" s="215"/>
      <c r="CD45" s="215"/>
      <c r="CE45" s="215"/>
      <c r="CF45" s="215"/>
      <c r="CG45" s="215"/>
      <c r="CH45" s="215"/>
      <c r="CI45" s="215"/>
      <c r="CJ45" s="215"/>
      <c r="CK45" s="215"/>
      <c r="CL45" s="215"/>
      <c r="CM45" s="215"/>
      <c r="CN45" s="215"/>
      <c r="CO45" s="215"/>
      <c r="CP45" s="215"/>
      <c r="CQ45" s="215"/>
      <c r="CR45" s="215"/>
    </row>
    <row r="46" spans="1:109" s="216" customFormat="1">
      <c r="A46" s="269"/>
      <c r="B46" s="177"/>
      <c r="C46" s="258" t="s">
        <v>141</v>
      </c>
      <c r="D46" s="176"/>
      <c r="E46" s="176"/>
      <c r="F46" s="176"/>
      <c r="G46" s="128"/>
      <c r="H46" s="113"/>
      <c r="I46" s="113"/>
      <c r="J46" s="113"/>
      <c r="K46" s="176"/>
      <c r="L46" s="176"/>
      <c r="M46" s="176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77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  <c r="BI46" s="128">
        <v>16500</v>
      </c>
      <c r="BJ46" s="128"/>
      <c r="BK46" s="128"/>
      <c r="BL46" s="128">
        <v>0</v>
      </c>
      <c r="BM46" s="128">
        <f t="shared" si="68"/>
        <v>16500</v>
      </c>
      <c r="BN46" s="215"/>
      <c r="BO46" s="215"/>
      <c r="BP46" s="215"/>
      <c r="BQ46" s="215"/>
      <c r="BR46" s="215"/>
      <c r="BS46" s="215"/>
      <c r="BT46" s="215"/>
      <c r="BU46" s="215"/>
      <c r="BV46" s="215"/>
      <c r="BW46" s="215"/>
      <c r="BX46" s="215"/>
      <c r="BY46" s="215"/>
      <c r="BZ46" s="215"/>
      <c r="CA46" s="215"/>
      <c r="CB46" s="215"/>
      <c r="CC46" s="215"/>
      <c r="CD46" s="215"/>
      <c r="CE46" s="215"/>
      <c r="CF46" s="215"/>
      <c r="CG46" s="215"/>
      <c r="CH46" s="215"/>
      <c r="CI46" s="215"/>
      <c r="CJ46" s="215"/>
      <c r="CK46" s="215"/>
      <c r="CL46" s="215"/>
      <c r="CM46" s="215"/>
      <c r="CN46" s="215"/>
      <c r="CO46" s="215"/>
      <c r="CP46" s="215"/>
      <c r="CQ46" s="215"/>
      <c r="CR46" s="215"/>
    </row>
    <row r="47" spans="1:109">
      <c r="A47" s="52"/>
      <c r="B47" s="25">
        <v>226</v>
      </c>
      <c r="C47" s="117" t="s">
        <v>8</v>
      </c>
      <c r="D47" s="110"/>
      <c r="E47" s="101"/>
      <c r="F47" s="101"/>
      <c r="G47" s="92"/>
      <c r="H47" s="468"/>
      <c r="I47" s="468"/>
      <c r="J47" s="468"/>
      <c r="K47" s="101"/>
      <c r="L47" s="101"/>
      <c r="M47" s="101"/>
      <c r="N47" s="468"/>
      <c r="O47" s="468"/>
      <c r="P47" s="468"/>
      <c r="Q47" s="468"/>
      <c r="R47" s="468"/>
      <c r="S47" s="468"/>
      <c r="T47" s="468"/>
      <c r="U47" s="468"/>
      <c r="V47" s="468"/>
      <c r="W47" s="468"/>
      <c r="X47" s="468"/>
      <c r="Y47" s="468"/>
      <c r="Z47" s="468"/>
      <c r="AA47" s="468"/>
      <c r="AB47" s="468"/>
      <c r="AC47" s="468"/>
      <c r="AD47" s="90">
        <v>244</v>
      </c>
      <c r="AE47" s="468" t="e">
        <f>#REF!+#REF!+#REF!</f>
        <v>#REF!</v>
      </c>
      <c r="AF47" s="468" t="e">
        <f>#REF!+#REF!</f>
        <v>#REF!</v>
      </c>
      <c r="AG47" s="468" t="e">
        <f t="shared" ref="AG47" si="70">AE47+AF47</f>
        <v>#REF!</v>
      </c>
      <c r="AH47" s="468"/>
      <c r="AI47" s="468" t="e">
        <f t="shared" ref="AI47" si="71">AG47+AH47</f>
        <v>#REF!</v>
      </c>
      <c r="AJ47" s="468"/>
      <c r="AK47" s="468" t="e">
        <f t="shared" ref="AK47" si="72">AI47+AJ47</f>
        <v>#REF!</v>
      </c>
      <c r="AL47" s="468"/>
      <c r="AM47" s="468" t="e">
        <f t="shared" ref="AM47" si="73">AK47+AL47</f>
        <v>#REF!</v>
      </c>
      <c r="AN47" s="468"/>
      <c r="AO47" s="468" t="e">
        <f t="shared" ref="AO47" si="74">AM47+AN47</f>
        <v>#REF!</v>
      </c>
      <c r="AP47" s="468"/>
      <c r="AQ47" s="468" t="e">
        <f t="shared" ref="AQ47" si="75">AO47+AP47</f>
        <v>#REF!</v>
      </c>
      <c r="AR47" s="468"/>
      <c r="AS47" s="468" t="e">
        <f>AQ47+AR47</f>
        <v>#REF!</v>
      </c>
      <c r="AT47" s="468"/>
      <c r="AU47" s="468" t="e">
        <f t="shared" ref="AU47" si="76">AS47+AT47</f>
        <v>#REF!</v>
      </c>
      <c r="AV47" s="468"/>
      <c r="AW47" s="468" t="e">
        <f>SUM(#REF!)</f>
        <v>#REF!</v>
      </c>
      <c r="AX47" s="468"/>
      <c r="AY47" s="468" t="e">
        <f t="shared" si="65"/>
        <v>#REF!</v>
      </c>
      <c r="AZ47" s="468"/>
      <c r="BA47" s="468" t="e">
        <f>#REF!+#REF!+#REF!+#REF!+#REF!+#REF!+#REF!+#REF!</f>
        <v>#REF!</v>
      </c>
      <c r="BB47" s="468"/>
      <c r="BC47" s="468" t="e">
        <f>#REF!+#REF!+#REF!+#REF!+#REF!+#REF!+#REF!+#REF!</f>
        <v>#REF!</v>
      </c>
      <c r="BD47" s="468" t="e">
        <f>#REF!+#REF!+#REF!+#REF!+#REF!+#REF!+#REF!+#REF!</f>
        <v>#REF!</v>
      </c>
      <c r="BE47" s="468" t="e">
        <f>#REF!+#REF!+#REF!+#REF!+#REF!+#REF!+#REF!+#REF!</f>
        <v>#REF!</v>
      </c>
      <c r="BF47" s="468"/>
      <c r="BG47" s="468" t="e">
        <f>#REF!+#REF!+#REF!+#REF!+#REF!+#REF!+#REF!+#REF!</f>
        <v>#REF!</v>
      </c>
      <c r="BH47" s="468"/>
      <c r="BI47" s="113">
        <f>BI48</f>
        <v>100000</v>
      </c>
      <c r="BJ47" s="113">
        <f t="shared" ref="BJ47:BL47" si="77">BJ48</f>
        <v>0</v>
      </c>
      <c r="BK47" s="113">
        <f t="shared" si="77"/>
        <v>0</v>
      </c>
      <c r="BL47" s="113">
        <f t="shared" si="77"/>
        <v>0</v>
      </c>
      <c r="BM47" s="113">
        <f t="shared" si="68"/>
        <v>100000</v>
      </c>
    </row>
    <row r="48" spans="1:109" ht="13.5" thickBot="1">
      <c r="A48" s="52"/>
      <c r="B48" s="432"/>
      <c r="C48" s="456" t="s">
        <v>251</v>
      </c>
      <c r="D48" s="433"/>
      <c r="E48" s="434"/>
      <c r="F48" s="434"/>
      <c r="G48" s="435"/>
      <c r="H48" s="435"/>
      <c r="I48" s="435"/>
      <c r="J48" s="435"/>
      <c r="K48" s="434"/>
      <c r="L48" s="434"/>
      <c r="M48" s="434"/>
      <c r="N48" s="435"/>
      <c r="O48" s="435"/>
      <c r="P48" s="435"/>
      <c r="Q48" s="435"/>
      <c r="R48" s="435"/>
      <c r="S48" s="435"/>
      <c r="T48" s="435"/>
      <c r="U48" s="435"/>
      <c r="V48" s="435"/>
      <c r="W48" s="435"/>
      <c r="X48" s="435"/>
      <c r="Y48" s="435"/>
      <c r="Z48" s="435"/>
      <c r="AA48" s="435"/>
      <c r="AB48" s="435"/>
      <c r="AC48" s="435"/>
      <c r="AD48" s="436"/>
      <c r="AE48" s="435"/>
      <c r="AF48" s="435"/>
      <c r="AG48" s="435"/>
      <c r="AH48" s="435"/>
      <c r="AI48" s="435"/>
      <c r="AJ48" s="435"/>
      <c r="AK48" s="435"/>
      <c r="AL48" s="435"/>
      <c r="AM48" s="435"/>
      <c r="AN48" s="435"/>
      <c r="AO48" s="435"/>
      <c r="AP48" s="435"/>
      <c r="AQ48" s="435"/>
      <c r="AR48" s="435"/>
      <c r="AS48" s="435"/>
      <c r="AT48" s="435"/>
      <c r="AU48" s="435"/>
      <c r="AV48" s="435"/>
      <c r="AW48" s="435"/>
      <c r="AX48" s="435"/>
      <c r="AY48" s="435"/>
      <c r="AZ48" s="435"/>
      <c r="BA48" s="435"/>
      <c r="BB48" s="435"/>
      <c r="BC48" s="435"/>
      <c r="BD48" s="435"/>
      <c r="BE48" s="435"/>
      <c r="BF48" s="435"/>
      <c r="BG48" s="435"/>
      <c r="BH48" s="435"/>
      <c r="BI48" s="437">
        <v>100000</v>
      </c>
      <c r="BJ48" s="437"/>
      <c r="BK48" s="437"/>
      <c r="BL48" s="437">
        <v>0</v>
      </c>
      <c r="BM48" s="128">
        <f t="shared" si="68"/>
        <v>100000</v>
      </c>
    </row>
    <row r="49" spans="1:96" s="216" customFormat="1" ht="30" customHeight="1" thickBot="1">
      <c r="A49" s="182"/>
      <c r="B49" s="224">
        <v>296</v>
      </c>
      <c r="C49" s="225" t="s">
        <v>86</v>
      </c>
      <c r="D49" s="226"/>
      <c r="E49" s="226"/>
      <c r="F49" s="226"/>
      <c r="G49" s="227"/>
      <c r="H49" s="227"/>
      <c r="I49" s="227"/>
      <c r="J49" s="227"/>
      <c r="K49" s="226"/>
      <c r="L49" s="226"/>
      <c r="M49" s="226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8" t="s">
        <v>82</v>
      </c>
      <c r="AE49" s="229"/>
      <c r="AF49" s="229"/>
      <c r="AG49" s="229"/>
      <c r="AH49" s="229"/>
      <c r="AI49" s="229"/>
      <c r="AJ49" s="229"/>
      <c r="AK49" s="229"/>
      <c r="AL49" s="229"/>
      <c r="AM49" s="229"/>
      <c r="AN49" s="229"/>
      <c r="AO49" s="229"/>
      <c r="AP49" s="229"/>
      <c r="AQ49" s="229"/>
      <c r="AR49" s="229"/>
      <c r="AS49" s="229"/>
      <c r="AT49" s="229"/>
      <c r="AU49" s="229"/>
      <c r="AV49" s="229"/>
      <c r="AW49" s="229"/>
      <c r="AX49" s="229"/>
      <c r="AY49" s="229"/>
      <c r="AZ49" s="229"/>
      <c r="BA49" s="227"/>
      <c r="BB49" s="227"/>
      <c r="BC49" s="227"/>
      <c r="BD49" s="227"/>
      <c r="BE49" s="227"/>
      <c r="BF49" s="227"/>
      <c r="BG49" s="227"/>
      <c r="BH49" s="227"/>
      <c r="BI49" s="229">
        <v>69000</v>
      </c>
      <c r="BJ49" s="229"/>
      <c r="BK49" s="229"/>
      <c r="BL49" s="229">
        <v>0</v>
      </c>
      <c r="BM49" s="113">
        <f t="shared" si="68"/>
        <v>69000</v>
      </c>
      <c r="BN49" s="215"/>
      <c r="BO49" s="215"/>
      <c r="BP49" s="215"/>
      <c r="BQ49" s="215"/>
      <c r="BR49" s="215"/>
      <c r="BS49" s="215"/>
      <c r="BT49" s="215"/>
      <c r="BU49" s="215"/>
      <c r="BV49" s="215"/>
      <c r="BW49" s="215"/>
      <c r="BX49" s="215"/>
      <c r="BY49" s="215"/>
      <c r="BZ49" s="215"/>
      <c r="CA49" s="215"/>
      <c r="CB49" s="215"/>
      <c r="CC49" s="215"/>
      <c r="CD49" s="215"/>
      <c r="CE49" s="215"/>
      <c r="CF49" s="215"/>
      <c r="CG49" s="215"/>
      <c r="CH49" s="215"/>
      <c r="CI49" s="215"/>
      <c r="CJ49" s="215"/>
      <c r="CK49" s="215"/>
      <c r="CL49" s="215"/>
      <c r="CM49" s="215"/>
      <c r="CN49" s="215"/>
      <c r="CO49" s="215"/>
      <c r="CP49" s="215"/>
      <c r="CQ49" s="215"/>
      <c r="CR49" s="215"/>
    </row>
    <row r="50" spans="1:96" s="123" customFormat="1" ht="18" customHeight="1">
      <c r="A50" s="149"/>
      <c r="B50" s="145">
        <v>342</v>
      </c>
      <c r="C50" s="240" t="s">
        <v>114</v>
      </c>
      <c r="D50" s="208"/>
      <c r="E50" s="208"/>
      <c r="F50" s="208"/>
      <c r="G50" s="209"/>
      <c r="H50" s="209"/>
      <c r="I50" s="209"/>
      <c r="J50" s="209"/>
      <c r="K50" s="208"/>
      <c r="L50" s="208"/>
      <c r="M50" s="208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10" t="s">
        <v>78</v>
      </c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  <c r="BI50" s="147">
        <f>BI51</f>
        <v>3600</v>
      </c>
      <c r="BJ50" s="147">
        <f t="shared" ref="BJ50:BL50" si="78">BJ51</f>
        <v>0</v>
      </c>
      <c r="BK50" s="147">
        <f t="shared" si="78"/>
        <v>0</v>
      </c>
      <c r="BL50" s="147">
        <f t="shared" si="78"/>
        <v>0</v>
      </c>
      <c r="BM50" s="113">
        <f t="shared" si="68"/>
        <v>3600</v>
      </c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H50" s="122"/>
      <c r="CI50" s="122"/>
      <c r="CJ50" s="122"/>
      <c r="CK50" s="122"/>
      <c r="CL50" s="122"/>
      <c r="CM50" s="122"/>
      <c r="CN50" s="122"/>
      <c r="CO50" s="122"/>
      <c r="CP50" s="122"/>
      <c r="CQ50" s="122"/>
      <c r="CR50" s="122"/>
    </row>
    <row r="51" spans="1:96" s="123" customFormat="1" ht="18" customHeight="1">
      <c r="A51" s="149"/>
      <c r="B51" s="145"/>
      <c r="C51" s="457" t="s">
        <v>142</v>
      </c>
      <c r="D51" s="208"/>
      <c r="E51" s="208"/>
      <c r="F51" s="208"/>
      <c r="G51" s="209"/>
      <c r="H51" s="209"/>
      <c r="I51" s="209"/>
      <c r="J51" s="209"/>
      <c r="K51" s="208"/>
      <c r="L51" s="208"/>
      <c r="M51" s="208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10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50">
        <v>3600</v>
      </c>
      <c r="BJ51" s="250"/>
      <c r="BK51" s="250"/>
      <c r="BL51" s="250">
        <v>0</v>
      </c>
      <c r="BM51" s="128">
        <f t="shared" si="68"/>
        <v>3600</v>
      </c>
      <c r="BN51" s="122"/>
      <c r="BO51" s="122"/>
      <c r="BP51" s="122"/>
      <c r="BQ51" s="122"/>
      <c r="BR51" s="122"/>
      <c r="BS51" s="122"/>
      <c r="BT51" s="122"/>
      <c r="BU51" s="122"/>
      <c r="BV51" s="122"/>
      <c r="BW51" s="122"/>
      <c r="BX51" s="122"/>
      <c r="BY51" s="122"/>
      <c r="BZ51" s="122"/>
      <c r="CA51" s="122"/>
      <c r="CB51" s="122"/>
      <c r="CC51" s="122"/>
      <c r="CD51" s="122"/>
      <c r="CE51" s="122"/>
      <c r="CF51" s="122"/>
      <c r="CG51" s="122"/>
      <c r="CH51" s="122"/>
      <c r="CI51" s="122"/>
      <c r="CJ51" s="122"/>
      <c r="CK51" s="122"/>
      <c r="CL51" s="122"/>
      <c r="CM51" s="122"/>
      <c r="CN51" s="122"/>
      <c r="CO51" s="122"/>
      <c r="CP51" s="122"/>
      <c r="CQ51" s="122"/>
      <c r="CR51" s="122"/>
    </row>
    <row r="52" spans="1:96" s="198" customFormat="1" ht="13.5">
      <c r="A52" s="182"/>
      <c r="B52" s="129">
        <v>346</v>
      </c>
      <c r="C52" s="152" t="s">
        <v>9</v>
      </c>
      <c r="D52" s="199"/>
      <c r="E52" s="176"/>
      <c r="F52" s="176"/>
      <c r="G52" s="113"/>
      <c r="H52" s="113"/>
      <c r="I52" s="113"/>
      <c r="J52" s="113"/>
      <c r="K52" s="176"/>
      <c r="L52" s="176"/>
      <c r="M52" s="176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77" t="s">
        <v>78</v>
      </c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>
        <f>BI53+BI54+BI55+BI58+BI59+BI60+BI61</f>
        <v>47580</v>
      </c>
      <c r="BJ52" s="113">
        <f>BJ53+BJ54+BJ55+BJ58+BJ59+BJ60+BJ61</f>
        <v>0</v>
      </c>
      <c r="BK52" s="113">
        <f>BK53+BK54+BK55+BK58+BK59+BK60+BK61</f>
        <v>0</v>
      </c>
      <c r="BL52" s="113">
        <f>BL53+BL54+BL55+BL58+BL59+BL60+BL61</f>
        <v>0</v>
      </c>
      <c r="BM52" s="113">
        <f t="shared" si="68"/>
        <v>47580</v>
      </c>
      <c r="BN52" s="197"/>
      <c r="BO52" s="197"/>
      <c r="BP52" s="197"/>
      <c r="BQ52" s="197"/>
      <c r="BR52" s="197"/>
      <c r="BS52" s="197"/>
      <c r="BT52" s="197"/>
      <c r="BU52" s="197"/>
      <c r="BV52" s="197"/>
      <c r="BW52" s="197"/>
      <c r="BX52" s="197"/>
      <c r="BY52" s="197"/>
      <c r="BZ52" s="197"/>
      <c r="CA52" s="197"/>
      <c r="CB52" s="197"/>
      <c r="CC52" s="197"/>
      <c r="CD52" s="197"/>
      <c r="CE52" s="197"/>
      <c r="CF52" s="197"/>
      <c r="CG52" s="197"/>
      <c r="CH52" s="197"/>
      <c r="CI52" s="197"/>
      <c r="CJ52" s="197"/>
      <c r="CK52" s="197"/>
      <c r="CL52" s="197"/>
      <c r="CM52" s="197"/>
      <c r="CN52" s="197"/>
      <c r="CO52" s="197"/>
      <c r="CP52" s="197"/>
      <c r="CQ52" s="197"/>
      <c r="CR52" s="197"/>
    </row>
    <row r="53" spans="1:96" s="198" customFormat="1" ht="13.5">
      <c r="A53" s="182"/>
      <c r="B53" s="169"/>
      <c r="C53" s="258" t="s">
        <v>143</v>
      </c>
      <c r="D53" s="199"/>
      <c r="E53" s="199"/>
      <c r="F53" s="199"/>
      <c r="G53" s="270"/>
      <c r="H53" s="270"/>
      <c r="I53" s="270"/>
      <c r="J53" s="270"/>
      <c r="K53" s="199"/>
      <c r="L53" s="199"/>
      <c r="M53" s="199"/>
      <c r="N53" s="270"/>
      <c r="O53" s="270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  <c r="AA53" s="270"/>
      <c r="AB53" s="270"/>
      <c r="AC53" s="270"/>
      <c r="AD53" s="271"/>
      <c r="AE53" s="270"/>
      <c r="AF53" s="270"/>
      <c r="AG53" s="270"/>
      <c r="AH53" s="270"/>
      <c r="AI53" s="270"/>
      <c r="AJ53" s="270"/>
      <c r="AK53" s="270"/>
      <c r="AL53" s="270"/>
      <c r="AM53" s="270"/>
      <c r="AN53" s="270"/>
      <c r="AO53" s="270"/>
      <c r="AP53" s="270"/>
      <c r="AQ53" s="270"/>
      <c r="AR53" s="270"/>
      <c r="AS53" s="270"/>
      <c r="AT53" s="270"/>
      <c r="AU53" s="270"/>
      <c r="AV53" s="270"/>
      <c r="AW53" s="270"/>
      <c r="AX53" s="270"/>
      <c r="AY53" s="270"/>
      <c r="AZ53" s="270"/>
      <c r="BA53" s="270"/>
      <c r="BB53" s="270"/>
      <c r="BC53" s="270"/>
      <c r="BD53" s="270"/>
      <c r="BE53" s="270"/>
      <c r="BF53" s="270"/>
      <c r="BG53" s="270"/>
      <c r="BH53" s="270"/>
      <c r="BI53" s="128">
        <v>2000</v>
      </c>
      <c r="BJ53" s="128"/>
      <c r="BK53" s="128"/>
      <c r="BL53" s="128">
        <v>0</v>
      </c>
      <c r="BM53" s="128">
        <f t="shared" si="68"/>
        <v>2000</v>
      </c>
      <c r="BN53" s="197"/>
      <c r="BO53" s="197"/>
      <c r="BP53" s="197"/>
      <c r="BQ53" s="197"/>
      <c r="BR53" s="197"/>
      <c r="BS53" s="197"/>
      <c r="BT53" s="197"/>
      <c r="BU53" s="197"/>
      <c r="BV53" s="197"/>
      <c r="BW53" s="197"/>
      <c r="BX53" s="197"/>
      <c r="BY53" s="197"/>
      <c r="BZ53" s="197"/>
      <c r="CA53" s="197"/>
      <c r="CB53" s="197"/>
      <c r="CC53" s="197"/>
      <c r="CD53" s="197"/>
      <c r="CE53" s="197"/>
      <c r="CF53" s="197"/>
      <c r="CG53" s="197"/>
      <c r="CH53" s="197"/>
      <c r="CI53" s="197"/>
      <c r="CJ53" s="197"/>
      <c r="CK53" s="197"/>
      <c r="CL53" s="197"/>
      <c r="CM53" s="197"/>
      <c r="CN53" s="197"/>
      <c r="CO53" s="197"/>
      <c r="CP53" s="197"/>
      <c r="CQ53" s="197"/>
      <c r="CR53" s="197"/>
    </row>
    <row r="54" spans="1:96" s="198" customFormat="1" ht="13.5">
      <c r="A54" s="182"/>
      <c r="B54" s="169"/>
      <c r="C54" s="258" t="s">
        <v>144</v>
      </c>
      <c r="D54" s="199"/>
      <c r="E54" s="199"/>
      <c r="F54" s="199"/>
      <c r="G54" s="270"/>
      <c r="H54" s="270"/>
      <c r="I54" s="270"/>
      <c r="J54" s="270"/>
      <c r="K54" s="199"/>
      <c r="L54" s="199"/>
      <c r="M54" s="199"/>
      <c r="N54" s="270"/>
      <c r="O54" s="270"/>
      <c r="P54" s="270"/>
      <c r="Q54" s="270"/>
      <c r="R54" s="270"/>
      <c r="S54" s="270"/>
      <c r="T54" s="270"/>
      <c r="U54" s="270"/>
      <c r="V54" s="270"/>
      <c r="W54" s="270"/>
      <c r="X54" s="270"/>
      <c r="Y54" s="270"/>
      <c r="Z54" s="270"/>
      <c r="AA54" s="270"/>
      <c r="AB54" s="270"/>
      <c r="AC54" s="270"/>
      <c r="AD54" s="271"/>
      <c r="AE54" s="270"/>
      <c r="AF54" s="270"/>
      <c r="AG54" s="270"/>
      <c r="AH54" s="270"/>
      <c r="AI54" s="270"/>
      <c r="AJ54" s="270"/>
      <c r="AK54" s="270"/>
      <c r="AL54" s="270"/>
      <c r="AM54" s="270"/>
      <c r="AN54" s="270"/>
      <c r="AO54" s="270"/>
      <c r="AP54" s="270"/>
      <c r="AQ54" s="270"/>
      <c r="AR54" s="270"/>
      <c r="AS54" s="270"/>
      <c r="AT54" s="270"/>
      <c r="AU54" s="270"/>
      <c r="AV54" s="270"/>
      <c r="AW54" s="270"/>
      <c r="AX54" s="270"/>
      <c r="AY54" s="270"/>
      <c r="AZ54" s="270"/>
      <c r="BA54" s="270"/>
      <c r="BB54" s="270"/>
      <c r="BC54" s="270"/>
      <c r="BD54" s="270"/>
      <c r="BE54" s="270"/>
      <c r="BF54" s="270"/>
      <c r="BG54" s="270"/>
      <c r="BH54" s="270"/>
      <c r="BI54" s="128">
        <v>2000</v>
      </c>
      <c r="BJ54" s="128"/>
      <c r="BK54" s="128"/>
      <c r="BL54" s="128">
        <v>0</v>
      </c>
      <c r="BM54" s="128">
        <f t="shared" si="68"/>
        <v>2000</v>
      </c>
      <c r="BN54" s="197"/>
      <c r="BO54" s="197"/>
      <c r="BP54" s="197"/>
      <c r="BQ54" s="197"/>
      <c r="BR54" s="197"/>
      <c r="BS54" s="197"/>
      <c r="BT54" s="197"/>
      <c r="BU54" s="197"/>
      <c r="BV54" s="197"/>
      <c r="BW54" s="197"/>
      <c r="BX54" s="197"/>
      <c r="BY54" s="197"/>
      <c r="BZ54" s="197"/>
      <c r="CA54" s="197"/>
      <c r="CB54" s="197"/>
      <c r="CC54" s="197"/>
      <c r="CD54" s="197"/>
      <c r="CE54" s="197"/>
      <c r="CF54" s="197"/>
      <c r="CG54" s="197"/>
      <c r="CH54" s="197"/>
      <c r="CI54" s="197"/>
      <c r="CJ54" s="197"/>
      <c r="CK54" s="197"/>
      <c r="CL54" s="197"/>
      <c r="CM54" s="197"/>
      <c r="CN54" s="197"/>
      <c r="CO54" s="197"/>
      <c r="CP54" s="197"/>
      <c r="CQ54" s="197"/>
      <c r="CR54" s="197"/>
    </row>
    <row r="55" spans="1:96" s="198" customFormat="1" ht="13.5">
      <c r="A55" s="182"/>
      <c r="B55" s="169"/>
      <c r="C55" s="462" t="s">
        <v>145</v>
      </c>
      <c r="D55" s="199"/>
      <c r="E55" s="199"/>
      <c r="F55" s="199"/>
      <c r="G55" s="270"/>
      <c r="H55" s="270"/>
      <c r="I55" s="270"/>
      <c r="J55" s="270"/>
      <c r="K55" s="199"/>
      <c r="L55" s="199"/>
      <c r="M55" s="199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1"/>
      <c r="AE55" s="270"/>
      <c r="AF55" s="270"/>
      <c r="AG55" s="270"/>
      <c r="AH55" s="270"/>
      <c r="AI55" s="270"/>
      <c r="AJ55" s="270"/>
      <c r="AK55" s="270"/>
      <c r="AL55" s="270"/>
      <c r="AM55" s="270"/>
      <c r="AN55" s="270"/>
      <c r="AO55" s="270"/>
      <c r="AP55" s="270"/>
      <c r="AQ55" s="270"/>
      <c r="AR55" s="270"/>
      <c r="AS55" s="270"/>
      <c r="AT55" s="270"/>
      <c r="AU55" s="270"/>
      <c r="AV55" s="270"/>
      <c r="AW55" s="270"/>
      <c r="AX55" s="270"/>
      <c r="AY55" s="270"/>
      <c r="AZ55" s="270"/>
      <c r="BA55" s="270"/>
      <c r="BB55" s="270"/>
      <c r="BC55" s="270"/>
      <c r="BD55" s="270"/>
      <c r="BE55" s="270"/>
      <c r="BF55" s="270"/>
      <c r="BG55" s="270"/>
      <c r="BH55" s="270"/>
      <c r="BI55" s="113">
        <f>BI56+BI57</f>
        <v>5000</v>
      </c>
      <c r="BJ55" s="113">
        <f t="shared" ref="BJ55:BL55" si="79">BJ56+BJ57</f>
        <v>0</v>
      </c>
      <c r="BK55" s="113">
        <f t="shared" si="79"/>
        <v>0</v>
      </c>
      <c r="BL55" s="113">
        <f t="shared" si="79"/>
        <v>0</v>
      </c>
      <c r="BM55" s="113">
        <f t="shared" si="68"/>
        <v>5000</v>
      </c>
      <c r="BN55" s="197"/>
      <c r="BO55" s="197"/>
      <c r="BP55" s="197"/>
      <c r="BQ55" s="197"/>
      <c r="BR55" s="197"/>
      <c r="BS55" s="197"/>
      <c r="BT55" s="197"/>
      <c r="BU55" s="197"/>
      <c r="BV55" s="197"/>
      <c r="BW55" s="197"/>
      <c r="BX55" s="197"/>
      <c r="BY55" s="197"/>
      <c r="BZ55" s="197"/>
      <c r="CA55" s="197"/>
      <c r="CB55" s="197"/>
      <c r="CC55" s="197"/>
      <c r="CD55" s="197"/>
      <c r="CE55" s="197"/>
      <c r="CF55" s="197"/>
      <c r="CG55" s="197"/>
      <c r="CH55" s="197"/>
      <c r="CI55" s="197"/>
      <c r="CJ55" s="197"/>
      <c r="CK55" s="197"/>
      <c r="CL55" s="197"/>
      <c r="CM55" s="197"/>
      <c r="CN55" s="197"/>
      <c r="CO55" s="197"/>
      <c r="CP55" s="197"/>
      <c r="CQ55" s="197"/>
      <c r="CR55" s="197"/>
    </row>
    <row r="56" spans="1:96" s="198" customFormat="1" ht="13.5">
      <c r="A56" s="182"/>
      <c r="B56" s="169"/>
      <c r="C56" s="463" t="s">
        <v>276</v>
      </c>
      <c r="D56" s="199"/>
      <c r="E56" s="199"/>
      <c r="F56" s="199"/>
      <c r="G56" s="270"/>
      <c r="H56" s="270"/>
      <c r="I56" s="270"/>
      <c r="J56" s="270"/>
      <c r="K56" s="199"/>
      <c r="L56" s="199"/>
      <c r="M56" s="199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1"/>
      <c r="AE56" s="270"/>
      <c r="AF56" s="270"/>
      <c r="AG56" s="270"/>
      <c r="AH56" s="270"/>
      <c r="AI56" s="270"/>
      <c r="AJ56" s="270"/>
      <c r="AK56" s="270"/>
      <c r="AL56" s="270"/>
      <c r="AM56" s="270"/>
      <c r="AN56" s="270"/>
      <c r="AO56" s="270"/>
      <c r="AP56" s="270"/>
      <c r="AQ56" s="270"/>
      <c r="AR56" s="270"/>
      <c r="AS56" s="270"/>
      <c r="AT56" s="270"/>
      <c r="AU56" s="270"/>
      <c r="AV56" s="270"/>
      <c r="AW56" s="270"/>
      <c r="AX56" s="270"/>
      <c r="AY56" s="270"/>
      <c r="AZ56" s="270"/>
      <c r="BA56" s="270"/>
      <c r="BB56" s="270"/>
      <c r="BC56" s="270"/>
      <c r="BD56" s="270"/>
      <c r="BE56" s="270"/>
      <c r="BF56" s="270"/>
      <c r="BG56" s="270"/>
      <c r="BH56" s="270"/>
      <c r="BI56" s="128">
        <v>4200</v>
      </c>
      <c r="BJ56" s="128"/>
      <c r="BK56" s="128"/>
      <c r="BL56" s="128">
        <v>0</v>
      </c>
      <c r="BM56" s="128">
        <f t="shared" si="68"/>
        <v>4200</v>
      </c>
      <c r="BN56" s="197"/>
      <c r="BO56" s="197"/>
      <c r="BP56" s="197"/>
      <c r="BQ56" s="197"/>
      <c r="BR56" s="197"/>
      <c r="BS56" s="197"/>
      <c r="BT56" s="197"/>
      <c r="BU56" s="197"/>
      <c r="BV56" s="197"/>
      <c r="BW56" s="197"/>
      <c r="BX56" s="197"/>
      <c r="BY56" s="197"/>
      <c r="BZ56" s="197"/>
      <c r="CA56" s="197"/>
      <c r="CB56" s="197"/>
      <c r="CC56" s="197"/>
      <c r="CD56" s="197"/>
      <c r="CE56" s="197"/>
      <c r="CF56" s="197"/>
      <c r="CG56" s="197"/>
      <c r="CH56" s="197"/>
      <c r="CI56" s="197"/>
      <c r="CJ56" s="197"/>
      <c r="CK56" s="197"/>
      <c r="CL56" s="197"/>
      <c r="CM56" s="197"/>
      <c r="CN56" s="197"/>
      <c r="CO56" s="197"/>
      <c r="CP56" s="197"/>
      <c r="CQ56" s="197"/>
      <c r="CR56" s="197"/>
    </row>
    <row r="57" spans="1:96" s="198" customFormat="1" ht="13.5">
      <c r="A57" s="182"/>
      <c r="B57" s="169"/>
      <c r="C57" s="463" t="s">
        <v>277</v>
      </c>
      <c r="D57" s="199"/>
      <c r="E57" s="199"/>
      <c r="F57" s="199"/>
      <c r="G57" s="270"/>
      <c r="H57" s="270"/>
      <c r="I57" s="270"/>
      <c r="J57" s="270"/>
      <c r="K57" s="199"/>
      <c r="L57" s="199"/>
      <c r="M57" s="199"/>
      <c r="N57" s="270"/>
      <c r="O57" s="270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  <c r="AA57" s="270"/>
      <c r="AB57" s="270"/>
      <c r="AC57" s="270"/>
      <c r="AD57" s="271"/>
      <c r="AE57" s="270"/>
      <c r="AF57" s="270"/>
      <c r="AG57" s="270"/>
      <c r="AH57" s="270"/>
      <c r="AI57" s="270"/>
      <c r="AJ57" s="270"/>
      <c r="AK57" s="270"/>
      <c r="AL57" s="270"/>
      <c r="AM57" s="270"/>
      <c r="AN57" s="270"/>
      <c r="AO57" s="270"/>
      <c r="AP57" s="270"/>
      <c r="AQ57" s="270"/>
      <c r="AR57" s="270"/>
      <c r="AS57" s="270"/>
      <c r="AT57" s="270"/>
      <c r="AU57" s="270"/>
      <c r="AV57" s="270"/>
      <c r="AW57" s="270"/>
      <c r="AX57" s="270"/>
      <c r="AY57" s="270"/>
      <c r="AZ57" s="270"/>
      <c r="BA57" s="270"/>
      <c r="BB57" s="270"/>
      <c r="BC57" s="270"/>
      <c r="BD57" s="270"/>
      <c r="BE57" s="270"/>
      <c r="BF57" s="270"/>
      <c r="BG57" s="270"/>
      <c r="BH57" s="270"/>
      <c r="BI57" s="128">
        <v>800</v>
      </c>
      <c r="BJ57" s="128"/>
      <c r="BK57" s="128"/>
      <c r="BL57" s="128">
        <v>0</v>
      </c>
      <c r="BM57" s="128">
        <f t="shared" si="68"/>
        <v>800</v>
      </c>
      <c r="BN57" s="197"/>
      <c r="BO57" s="197"/>
      <c r="BP57" s="197"/>
      <c r="BQ57" s="197"/>
      <c r="BR57" s="197"/>
      <c r="BS57" s="197"/>
      <c r="BT57" s="197"/>
      <c r="BU57" s="197"/>
      <c r="BV57" s="197"/>
      <c r="BW57" s="197"/>
      <c r="BX57" s="197"/>
      <c r="BY57" s="197"/>
      <c r="BZ57" s="197"/>
      <c r="CA57" s="197"/>
      <c r="CB57" s="197"/>
      <c r="CC57" s="197"/>
      <c r="CD57" s="197"/>
      <c r="CE57" s="197"/>
      <c r="CF57" s="197"/>
      <c r="CG57" s="197"/>
      <c r="CH57" s="197"/>
      <c r="CI57" s="197"/>
      <c r="CJ57" s="197"/>
      <c r="CK57" s="197"/>
      <c r="CL57" s="197"/>
      <c r="CM57" s="197"/>
      <c r="CN57" s="197"/>
      <c r="CO57" s="197"/>
      <c r="CP57" s="197"/>
      <c r="CQ57" s="197"/>
      <c r="CR57" s="197"/>
    </row>
    <row r="58" spans="1:96" s="198" customFormat="1" ht="13.5">
      <c r="A58" s="182"/>
      <c r="B58" s="169"/>
      <c r="C58" s="258" t="s">
        <v>146</v>
      </c>
      <c r="D58" s="199"/>
      <c r="E58" s="199"/>
      <c r="F58" s="199"/>
      <c r="G58" s="270"/>
      <c r="H58" s="270"/>
      <c r="I58" s="270"/>
      <c r="J58" s="270"/>
      <c r="K58" s="199"/>
      <c r="L58" s="199"/>
      <c r="M58" s="199"/>
      <c r="N58" s="270"/>
      <c r="O58" s="270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0"/>
      <c r="AC58" s="270"/>
      <c r="AD58" s="271"/>
      <c r="AE58" s="270"/>
      <c r="AF58" s="270"/>
      <c r="AG58" s="270"/>
      <c r="AH58" s="270"/>
      <c r="AI58" s="270"/>
      <c r="AJ58" s="270"/>
      <c r="AK58" s="270"/>
      <c r="AL58" s="270"/>
      <c r="AM58" s="270"/>
      <c r="AN58" s="270"/>
      <c r="AO58" s="270"/>
      <c r="AP58" s="270"/>
      <c r="AQ58" s="270"/>
      <c r="AR58" s="270"/>
      <c r="AS58" s="270"/>
      <c r="AT58" s="270"/>
      <c r="AU58" s="270"/>
      <c r="AV58" s="270"/>
      <c r="AW58" s="270"/>
      <c r="AX58" s="270"/>
      <c r="AY58" s="270"/>
      <c r="AZ58" s="270"/>
      <c r="BA58" s="270"/>
      <c r="BB58" s="270"/>
      <c r="BC58" s="270"/>
      <c r="BD58" s="270"/>
      <c r="BE58" s="270"/>
      <c r="BF58" s="270"/>
      <c r="BG58" s="270"/>
      <c r="BH58" s="270"/>
      <c r="BI58" s="128">
        <v>10000</v>
      </c>
      <c r="BJ58" s="128"/>
      <c r="BK58" s="128"/>
      <c r="BL58" s="128">
        <v>0</v>
      </c>
      <c r="BM58" s="128">
        <f t="shared" si="68"/>
        <v>10000</v>
      </c>
      <c r="BN58" s="197"/>
      <c r="BO58" s="197"/>
      <c r="BP58" s="197"/>
      <c r="BQ58" s="197"/>
      <c r="BR58" s="197"/>
      <c r="BS58" s="197"/>
      <c r="BT58" s="197"/>
      <c r="BU58" s="197"/>
      <c r="BV58" s="197"/>
      <c r="BW58" s="197"/>
      <c r="BX58" s="197"/>
      <c r="BY58" s="197"/>
      <c r="BZ58" s="197"/>
      <c r="CA58" s="197"/>
      <c r="CB58" s="197"/>
      <c r="CC58" s="197"/>
      <c r="CD58" s="197"/>
      <c r="CE58" s="197"/>
      <c r="CF58" s="197"/>
      <c r="CG58" s="197"/>
      <c r="CH58" s="197"/>
      <c r="CI58" s="197"/>
      <c r="CJ58" s="197"/>
      <c r="CK58" s="197"/>
      <c r="CL58" s="197"/>
      <c r="CM58" s="197"/>
      <c r="CN58" s="197"/>
      <c r="CO58" s="197"/>
      <c r="CP58" s="197"/>
      <c r="CQ58" s="197"/>
      <c r="CR58" s="197"/>
    </row>
    <row r="59" spans="1:96" s="198" customFormat="1" ht="25.5">
      <c r="A59" s="182"/>
      <c r="B59" s="169"/>
      <c r="C59" s="258" t="s">
        <v>147</v>
      </c>
      <c r="D59" s="199"/>
      <c r="E59" s="199"/>
      <c r="F59" s="199"/>
      <c r="G59" s="270"/>
      <c r="H59" s="270"/>
      <c r="I59" s="270"/>
      <c r="J59" s="270"/>
      <c r="K59" s="199"/>
      <c r="L59" s="199"/>
      <c r="M59" s="199"/>
      <c r="N59" s="270"/>
      <c r="O59" s="270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  <c r="AA59" s="270"/>
      <c r="AB59" s="270"/>
      <c r="AC59" s="270"/>
      <c r="AD59" s="271"/>
      <c r="AE59" s="270"/>
      <c r="AF59" s="270"/>
      <c r="AG59" s="270"/>
      <c r="AH59" s="270"/>
      <c r="AI59" s="270"/>
      <c r="AJ59" s="270"/>
      <c r="AK59" s="270"/>
      <c r="AL59" s="270"/>
      <c r="AM59" s="270"/>
      <c r="AN59" s="270"/>
      <c r="AO59" s="270"/>
      <c r="AP59" s="270"/>
      <c r="AQ59" s="270"/>
      <c r="AR59" s="270"/>
      <c r="AS59" s="270"/>
      <c r="AT59" s="270"/>
      <c r="AU59" s="270"/>
      <c r="AV59" s="270"/>
      <c r="AW59" s="270"/>
      <c r="AX59" s="270"/>
      <c r="AY59" s="270"/>
      <c r="AZ59" s="270"/>
      <c r="BA59" s="270"/>
      <c r="BB59" s="270"/>
      <c r="BC59" s="270"/>
      <c r="BD59" s="270"/>
      <c r="BE59" s="270"/>
      <c r="BF59" s="270"/>
      <c r="BG59" s="270"/>
      <c r="BH59" s="270"/>
      <c r="BI59" s="128">
        <v>7480</v>
      </c>
      <c r="BJ59" s="128"/>
      <c r="BK59" s="128"/>
      <c r="BL59" s="128">
        <v>0</v>
      </c>
      <c r="BM59" s="128">
        <f t="shared" si="68"/>
        <v>7480</v>
      </c>
      <c r="BN59" s="197"/>
      <c r="BO59" s="197"/>
      <c r="BP59" s="197"/>
      <c r="BQ59" s="197"/>
      <c r="BR59" s="197"/>
      <c r="BS59" s="197"/>
      <c r="BT59" s="197"/>
      <c r="BU59" s="197"/>
      <c r="BV59" s="197"/>
      <c r="BW59" s="197"/>
      <c r="BX59" s="197"/>
      <c r="BY59" s="197"/>
      <c r="BZ59" s="197"/>
      <c r="CA59" s="197"/>
      <c r="CB59" s="197"/>
      <c r="CC59" s="197"/>
      <c r="CD59" s="197"/>
      <c r="CE59" s="197"/>
      <c r="CF59" s="197"/>
      <c r="CG59" s="197"/>
      <c r="CH59" s="197"/>
      <c r="CI59" s="197"/>
      <c r="CJ59" s="197"/>
      <c r="CK59" s="197"/>
      <c r="CL59" s="197"/>
      <c r="CM59" s="197"/>
      <c r="CN59" s="197"/>
      <c r="CO59" s="197"/>
      <c r="CP59" s="197"/>
      <c r="CQ59" s="197"/>
      <c r="CR59" s="197"/>
    </row>
    <row r="60" spans="1:96" s="198" customFormat="1" ht="13.5">
      <c r="A60" s="182"/>
      <c r="B60" s="169"/>
      <c r="C60" s="258" t="s">
        <v>142</v>
      </c>
      <c r="D60" s="199"/>
      <c r="E60" s="199"/>
      <c r="F60" s="199"/>
      <c r="G60" s="270"/>
      <c r="H60" s="270"/>
      <c r="I60" s="270"/>
      <c r="J60" s="270"/>
      <c r="K60" s="199"/>
      <c r="L60" s="199"/>
      <c r="M60" s="199"/>
      <c r="N60" s="270"/>
      <c r="O60" s="270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270"/>
      <c r="AC60" s="270"/>
      <c r="AD60" s="271"/>
      <c r="AE60" s="270"/>
      <c r="AF60" s="270"/>
      <c r="AG60" s="270"/>
      <c r="AH60" s="270"/>
      <c r="AI60" s="270"/>
      <c r="AJ60" s="270"/>
      <c r="AK60" s="270"/>
      <c r="AL60" s="270"/>
      <c r="AM60" s="270"/>
      <c r="AN60" s="270"/>
      <c r="AO60" s="270"/>
      <c r="AP60" s="270"/>
      <c r="AQ60" s="270"/>
      <c r="AR60" s="270"/>
      <c r="AS60" s="270"/>
      <c r="AT60" s="270"/>
      <c r="AU60" s="270"/>
      <c r="AV60" s="270"/>
      <c r="AW60" s="270"/>
      <c r="AX60" s="270"/>
      <c r="AY60" s="270"/>
      <c r="AZ60" s="270"/>
      <c r="BA60" s="270"/>
      <c r="BB60" s="270"/>
      <c r="BC60" s="270"/>
      <c r="BD60" s="270"/>
      <c r="BE60" s="270"/>
      <c r="BF60" s="270"/>
      <c r="BG60" s="270"/>
      <c r="BH60" s="270"/>
      <c r="BI60" s="128">
        <v>3600</v>
      </c>
      <c r="BJ60" s="128"/>
      <c r="BK60" s="128"/>
      <c r="BL60" s="128">
        <v>0</v>
      </c>
      <c r="BM60" s="128">
        <f t="shared" si="68"/>
        <v>3600</v>
      </c>
      <c r="BN60" s="197"/>
      <c r="BO60" s="197"/>
      <c r="BP60" s="197"/>
      <c r="BQ60" s="197"/>
      <c r="BR60" s="197"/>
      <c r="BS60" s="197"/>
      <c r="BT60" s="197"/>
      <c r="BU60" s="197"/>
      <c r="BV60" s="197"/>
      <c r="BW60" s="197"/>
      <c r="BX60" s="197"/>
      <c r="BY60" s="197"/>
      <c r="BZ60" s="197"/>
      <c r="CA60" s="197"/>
      <c r="CB60" s="197"/>
      <c r="CC60" s="197"/>
      <c r="CD60" s="197"/>
      <c r="CE60" s="197"/>
      <c r="CF60" s="197"/>
      <c r="CG60" s="197"/>
      <c r="CH60" s="197"/>
      <c r="CI60" s="197"/>
      <c r="CJ60" s="197"/>
      <c r="CK60" s="197"/>
      <c r="CL60" s="197"/>
      <c r="CM60" s="197"/>
      <c r="CN60" s="197"/>
      <c r="CO60" s="197"/>
      <c r="CP60" s="197"/>
      <c r="CQ60" s="197"/>
      <c r="CR60" s="197"/>
    </row>
    <row r="61" spans="1:96" s="198" customFormat="1" ht="13.5">
      <c r="A61" s="182"/>
      <c r="B61" s="169"/>
      <c r="C61" s="258" t="s">
        <v>148</v>
      </c>
      <c r="D61" s="199"/>
      <c r="E61" s="199"/>
      <c r="F61" s="199"/>
      <c r="G61" s="270"/>
      <c r="H61" s="270"/>
      <c r="I61" s="270"/>
      <c r="J61" s="270"/>
      <c r="K61" s="199"/>
      <c r="L61" s="199"/>
      <c r="M61" s="199"/>
      <c r="N61" s="270"/>
      <c r="O61" s="270"/>
      <c r="P61" s="270"/>
      <c r="Q61" s="270"/>
      <c r="R61" s="270"/>
      <c r="S61" s="270"/>
      <c r="T61" s="270"/>
      <c r="U61" s="270"/>
      <c r="V61" s="270"/>
      <c r="W61" s="270"/>
      <c r="X61" s="270"/>
      <c r="Y61" s="270"/>
      <c r="Z61" s="270"/>
      <c r="AA61" s="270"/>
      <c r="AB61" s="270"/>
      <c r="AC61" s="270"/>
      <c r="AD61" s="271"/>
      <c r="AE61" s="270"/>
      <c r="AF61" s="270"/>
      <c r="AG61" s="270"/>
      <c r="AH61" s="270"/>
      <c r="AI61" s="270"/>
      <c r="AJ61" s="270"/>
      <c r="AK61" s="270"/>
      <c r="AL61" s="270"/>
      <c r="AM61" s="270"/>
      <c r="AN61" s="270"/>
      <c r="AO61" s="270"/>
      <c r="AP61" s="270"/>
      <c r="AQ61" s="270"/>
      <c r="AR61" s="270"/>
      <c r="AS61" s="270"/>
      <c r="AT61" s="270"/>
      <c r="AU61" s="270"/>
      <c r="AV61" s="270"/>
      <c r="AW61" s="270"/>
      <c r="AX61" s="270"/>
      <c r="AY61" s="270"/>
      <c r="AZ61" s="270"/>
      <c r="BA61" s="270"/>
      <c r="BB61" s="270"/>
      <c r="BC61" s="270"/>
      <c r="BD61" s="270"/>
      <c r="BE61" s="270"/>
      <c r="BF61" s="270"/>
      <c r="BG61" s="270"/>
      <c r="BH61" s="270"/>
      <c r="BI61" s="128">
        <v>17500</v>
      </c>
      <c r="BJ61" s="128"/>
      <c r="BK61" s="128"/>
      <c r="BL61" s="128">
        <v>0</v>
      </c>
      <c r="BM61" s="128">
        <f t="shared" si="68"/>
        <v>17500</v>
      </c>
      <c r="BN61" s="197"/>
      <c r="BO61" s="197"/>
      <c r="BP61" s="197"/>
      <c r="BQ61" s="197"/>
      <c r="BR61" s="197"/>
      <c r="BS61" s="197"/>
      <c r="BT61" s="197"/>
      <c r="BU61" s="197"/>
      <c r="BV61" s="197"/>
      <c r="BW61" s="197"/>
      <c r="BX61" s="197"/>
      <c r="BY61" s="197"/>
      <c r="BZ61" s="197"/>
      <c r="CA61" s="197"/>
      <c r="CB61" s="197"/>
      <c r="CC61" s="197"/>
      <c r="CD61" s="197"/>
      <c r="CE61" s="197"/>
      <c r="CF61" s="197"/>
      <c r="CG61" s="197"/>
      <c r="CH61" s="197"/>
      <c r="CI61" s="197"/>
      <c r="CJ61" s="197"/>
      <c r="CK61" s="197"/>
      <c r="CL61" s="197"/>
      <c r="CM61" s="197"/>
      <c r="CN61" s="197"/>
      <c r="CO61" s="197"/>
      <c r="CP61" s="197"/>
      <c r="CQ61" s="197"/>
      <c r="CR61" s="197"/>
    </row>
    <row r="62" spans="1:96" s="198" customFormat="1">
      <c r="A62" s="251"/>
      <c r="B62" s="252">
        <v>349</v>
      </c>
      <c r="C62" s="253" t="s">
        <v>9</v>
      </c>
      <c r="D62" s="254"/>
      <c r="E62" s="255"/>
      <c r="F62" s="255"/>
      <c r="G62" s="256"/>
      <c r="H62" s="256"/>
      <c r="I62" s="256"/>
      <c r="J62" s="256"/>
      <c r="K62" s="255"/>
      <c r="L62" s="255"/>
      <c r="M62" s="255"/>
      <c r="N62" s="256"/>
      <c r="O62" s="256"/>
      <c r="P62" s="256"/>
      <c r="Q62" s="256"/>
      <c r="R62" s="256"/>
      <c r="S62" s="256"/>
      <c r="T62" s="256"/>
      <c r="U62" s="256"/>
      <c r="V62" s="256"/>
      <c r="W62" s="256"/>
      <c r="X62" s="256"/>
      <c r="Y62" s="256"/>
      <c r="Z62" s="256"/>
      <c r="AA62" s="256"/>
      <c r="AB62" s="256"/>
      <c r="AC62" s="256"/>
      <c r="AD62" s="257" t="s">
        <v>78</v>
      </c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  <c r="BI62" s="144">
        <f>BI63+BI64+BI65+BI67+BI68+BI69+BI70+BI71+BI72+BI76</f>
        <v>44850</v>
      </c>
      <c r="BJ62" s="144">
        <f>BJ63+BJ64+BJ65+BJ67+BJ68+BJ69+BJ70+BJ71+BJ72+BJ76</f>
        <v>0</v>
      </c>
      <c r="BK62" s="144">
        <f>BK63+BK64+BK65+BK67+BK68+BK69+BK70+BK71+BK72+BK76</f>
        <v>0</v>
      </c>
      <c r="BL62" s="144">
        <f>BL63+BL64+BL65+BL67+BL68+BL69+BL70+BL71+BL72+BL76</f>
        <v>0</v>
      </c>
      <c r="BM62" s="113">
        <f t="shared" si="68"/>
        <v>44850</v>
      </c>
      <c r="BN62" s="197"/>
      <c r="BO62" s="197"/>
      <c r="BP62" s="197"/>
      <c r="BQ62" s="197"/>
      <c r="BR62" s="197"/>
      <c r="BS62" s="197"/>
      <c r="BT62" s="197"/>
      <c r="BU62" s="197"/>
      <c r="BV62" s="197"/>
      <c r="BW62" s="197"/>
      <c r="BX62" s="197"/>
      <c r="BY62" s="197"/>
      <c r="BZ62" s="197"/>
      <c r="CA62" s="197"/>
      <c r="CB62" s="197"/>
      <c r="CC62" s="197"/>
      <c r="CD62" s="197"/>
      <c r="CE62" s="197"/>
      <c r="CF62" s="197"/>
      <c r="CG62" s="197"/>
      <c r="CH62" s="197"/>
      <c r="CI62" s="197"/>
      <c r="CJ62" s="197"/>
      <c r="CK62" s="197"/>
      <c r="CL62" s="197"/>
      <c r="CM62" s="197"/>
      <c r="CN62" s="197"/>
      <c r="CO62" s="197"/>
      <c r="CP62" s="197"/>
      <c r="CQ62" s="197"/>
      <c r="CR62" s="197"/>
    </row>
    <row r="63" spans="1:96" s="129" customFormat="1" ht="13.5">
      <c r="A63" s="182"/>
      <c r="C63" s="258" t="s">
        <v>144</v>
      </c>
      <c r="D63" s="187"/>
      <c r="E63" s="187"/>
      <c r="F63" s="187"/>
      <c r="G63" s="125"/>
      <c r="H63" s="125"/>
      <c r="I63" s="125"/>
      <c r="J63" s="125"/>
      <c r="K63" s="187"/>
      <c r="L63" s="187"/>
      <c r="M63" s="187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271"/>
      <c r="AE63" s="270"/>
      <c r="AF63" s="270"/>
      <c r="AG63" s="270"/>
      <c r="AH63" s="270"/>
      <c r="AI63" s="270"/>
      <c r="AJ63" s="270"/>
      <c r="AK63" s="270"/>
      <c r="AL63" s="270"/>
      <c r="AM63" s="270"/>
      <c r="AN63" s="270"/>
      <c r="AO63" s="270"/>
      <c r="AP63" s="270"/>
      <c r="AQ63" s="270"/>
      <c r="AR63" s="270"/>
      <c r="AS63" s="270"/>
      <c r="AT63" s="270"/>
      <c r="AU63" s="270"/>
      <c r="AV63" s="270"/>
      <c r="AW63" s="270"/>
      <c r="AX63" s="270"/>
      <c r="AY63" s="270"/>
      <c r="AZ63" s="270"/>
      <c r="BA63" s="270"/>
      <c r="BB63" s="270"/>
      <c r="BC63" s="270"/>
      <c r="BD63" s="270"/>
      <c r="BE63" s="270"/>
      <c r="BF63" s="270"/>
      <c r="BG63" s="270"/>
      <c r="BH63" s="270"/>
      <c r="BI63" s="128">
        <v>2850</v>
      </c>
      <c r="BJ63" s="128"/>
      <c r="BK63" s="128"/>
      <c r="BL63" s="128">
        <v>0</v>
      </c>
      <c r="BM63" s="128">
        <f t="shared" si="68"/>
        <v>2850</v>
      </c>
      <c r="BN63" s="113"/>
      <c r="BO63" s="113"/>
      <c r="BP63" s="113"/>
      <c r="BQ63" s="113"/>
      <c r="BR63" s="113"/>
      <c r="BS63" s="113"/>
      <c r="BT63" s="113"/>
      <c r="BU63" s="113"/>
      <c r="BV63" s="113"/>
      <c r="BW63" s="113"/>
      <c r="BX63" s="113"/>
      <c r="BY63" s="113"/>
      <c r="BZ63" s="113"/>
      <c r="CA63" s="113"/>
      <c r="CB63" s="113"/>
      <c r="CC63" s="113"/>
      <c r="CD63" s="113"/>
      <c r="CE63" s="113"/>
      <c r="CF63" s="113"/>
      <c r="CG63" s="113"/>
      <c r="CH63" s="113"/>
      <c r="CI63" s="113"/>
      <c r="CJ63" s="113"/>
      <c r="CK63" s="113"/>
      <c r="CL63" s="113"/>
      <c r="CM63" s="113"/>
      <c r="CN63" s="113"/>
      <c r="CO63" s="113"/>
      <c r="CP63" s="113"/>
      <c r="CQ63" s="113"/>
      <c r="CR63" s="113"/>
    </row>
    <row r="64" spans="1:96" s="129" customFormat="1" ht="13.5">
      <c r="A64" s="182"/>
      <c r="C64" s="258" t="s">
        <v>149</v>
      </c>
      <c r="D64" s="187"/>
      <c r="E64" s="187"/>
      <c r="F64" s="187"/>
      <c r="G64" s="125"/>
      <c r="H64" s="125"/>
      <c r="I64" s="125"/>
      <c r="J64" s="125"/>
      <c r="K64" s="187"/>
      <c r="L64" s="187"/>
      <c r="M64" s="187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271"/>
      <c r="AE64" s="270"/>
      <c r="AF64" s="270"/>
      <c r="AG64" s="270"/>
      <c r="AH64" s="270"/>
      <c r="AI64" s="270"/>
      <c r="AJ64" s="270"/>
      <c r="AK64" s="270"/>
      <c r="AL64" s="270"/>
      <c r="AM64" s="270"/>
      <c r="AN64" s="270"/>
      <c r="AO64" s="270"/>
      <c r="AP64" s="270"/>
      <c r="AQ64" s="270"/>
      <c r="AR64" s="270"/>
      <c r="AS64" s="270"/>
      <c r="AT64" s="270"/>
      <c r="AU64" s="270"/>
      <c r="AV64" s="270"/>
      <c r="AW64" s="270"/>
      <c r="AX64" s="270"/>
      <c r="AY64" s="270"/>
      <c r="AZ64" s="270"/>
      <c r="BA64" s="270"/>
      <c r="BB64" s="270"/>
      <c r="BC64" s="270"/>
      <c r="BD64" s="270"/>
      <c r="BE64" s="270"/>
      <c r="BF64" s="270"/>
      <c r="BG64" s="270"/>
      <c r="BH64" s="270"/>
      <c r="BI64" s="128">
        <v>2000</v>
      </c>
      <c r="BJ64" s="128"/>
      <c r="BK64" s="128"/>
      <c r="BL64" s="128">
        <v>0</v>
      </c>
      <c r="BM64" s="128">
        <f t="shared" si="68"/>
        <v>2000</v>
      </c>
      <c r="BN64" s="113"/>
      <c r="BO64" s="113"/>
      <c r="BP64" s="113"/>
      <c r="BQ64" s="113"/>
      <c r="BR64" s="113"/>
      <c r="BS64" s="113"/>
      <c r="BT64" s="113"/>
      <c r="BU64" s="113"/>
      <c r="BV64" s="113"/>
      <c r="BW64" s="113"/>
      <c r="BX64" s="113"/>
      <c r="BY64" s="113"/>
      <c r="BZ64" s="113"/>
      <c r="CA64" s="113"/>
      <c r="CB64" s="113"/>
      <c r="CC64" s="113"/>
      <c r="CD64" s="113"/>
      <c r="CE64" s="113"/>
      <c r="CF64" s="113"/>
      <c r="CG64" s="113"/>
      <c r="CH64" s="113"/>
      <c r="CI64" s="113"/>
      <c r="CJ64" s="113"/>
      <c r="CK64" s="113"/>
      <c r="CL64" s="113"/>
      <c r="CM64" s="113"/>
      <c r="CN64" s="113"/>
      <c r="CO64" s="113"/>
      <c r="CP64" s="113"/>
      <c r="CQ64" s="113"/>
      <c r="CR64" s="113"/>
    </row>
    <row r="65" spans="1:96" s="129" customFormat="1" ht="13.5">
      <c r="A65" s="182"/>
      <c r="C65" s="462" t="s">
        <v>150</v>
      </c>
      <c r="D65" s="187"/>
      <c r="E65" s="187"/>
      <c r="F65" s="187"/>
      <c r="G65" s="125"/>
      <c r="H65" s="125"/>
      <c r="I65" s="125"/>
      <c r="J65" s="125"/>
      <c r="K65" s="187"/>
      <c r="L65" s="187"/>
      <c r="M65" s="187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271"/>
      <c r="AE65" s="270"/>
      <c r="AF65" s="270"/>
      <c r="AG65" s="270"/>
      <c r="AH65" s="270"/>
      <c r="AI65" s="270"/>
      <c r="AJ65" s="270"/>
      <c r="AK65" s="270"/>
      <c r="AL65" s="270"/>
      <c r="AM65" s="270"/>
      <c r="AN65" s="270"/>
      <c r="AO65" s="270"/>
      <c r="AP65" s="270"/>
      <c r="AQ65" s="270"/>
      <c r="AR65" s="270"/>
      <c r="AS65" s="270"/>
      <c r="AT65" s="270"/>
      <c r="AU65" s="270"/>
      <c r="AV65" s="270"/>
      <c r="AW65" s="270"/>
      <c r="AX65" s="270"/>
      <c r="AY65" s="270"/>
      <c r="AZ65" s="270"/>
      <c r="BA65" s="270"/>
      <c r="BB65" s="270"/>
      <c r="BC65" s="270"/>
      <c r="BD65" s="270"/>
      <c r="BE65" s="270"/>
      <c r="BF65" s="270"/>
      <c r="BG65" s="270"/>
      <c r="BH65" s="270"/>
      <c r="BI65" s="113">
        <f>BI66</f>
        <v>5000</v>
      </c>
      <c r="BJ65" s="113">
        <f t="shared" ref="BJ65:BL65" si="80">BJ66</f>
        <v>0</v>
      </c>
      <c r="BK65" s="113">
        <f t="shared" si="80"/>
        <v>0</v>
      </c>
      <c r="BL65" s="113">
        <f t="shared" si="80"/>
        <v>0</v>
      </c>
      <c r="BM65" s="113">
        <f t="shared" si="68"/>
        <v>5000</v>
      </c>
      <c r="BN65" s="113"/>
      <c r="BO65" s="113"/>
      <c r="BP65" s="113"/>
      <c r="BQ65" s="113"/>
      <c r="BR65" s="113"/>
      <c r="BS65" s="113"/>
      <c r="BT65" s="113"/>
      <c r="BU65" s="113"/>
      <c r="BV65" s="113"/>
      <c r="BW65" s="113"/>
      <c r="BX65" s="113"/>
      <c r="BY65" s="113"/>
      <c r="BZ65" s="113"/>
      <c r="CA65" s="113"/>
      <c r="CB65" s="113"/>
      <c r="CC65" s="113"/>
      <c r="CD65" s="113"/>
      <c r="CE65" s="113"/>
      <c r="CF65" s="113"/>
      <c r="CG65" s="113"/>
      <c r="CH65" s="113"/>
      <c r="CI65" s="113"/>
      <c r="CJ65" s="113"/>
      <c r="CK65" s="113"/>
      <c r="CL65" s="113"/>
      <c r="CM65" s="113"/>
      <c r="CN65" s="113"/>
      <c r="CO65" s="113"/>
      <c r="CP65" s="113"/>
      <c r="CQ65" s="113"/>
      <c r="CR65" s="113"/>
    </row>
    <row r="66" spans="1:96" s="129" customFormat="1" ht="13.5">
      <c r="A66" s="182"/>
      <c r="C66" s="463" t="s">
        <v>278</v>
      </c>
      <c r="D66" s="187"/>
      <c r="E66" s="187"/>
      <c r="F66" s="187"/>
      <c r="G66" s="125"/>
      <c r="H66" s="125"/>
      <c r="I66" s="125"/>
      <c r="J66" s="125"/>
      <c r="K66" s="187"/>
      <c r="L66" s="187"/>
      <c r="M66" s="187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271"/>
      <c r="AE66" s="270"/>
      <c r="AF66" s="270"/>
      <c r="AG66" s="270"/>
      <c r="AH66" s="270"/>
      <c r="AI66" s="270"/>
      <c r="AJ66" s="270"/>
      <c r="AK66" s="270"/>
      <c r="AL66" s="270"/>
      <c r="AM66" s="270"/>
      <c r="AN66" s="270"/>
      <c r="AO66" s="270"/>
      <c r="AP66" s="270"/>
      <c r="AQ66" s="270"/>
      <c r="AR66" s="270"/>
      <c r="AS66" s="270"/>
      <c r="AT66" s="270"/>
      <c r="AU66" s="270"/>
      <c r="AV66" s="270"/>
      <c r="AW66" s="270"/>
      <c r="AX66" s="270"/>
      <c r="AY66" s="270"/>
      <c r="AZ66" s="270"/>
      <c r="BA66" s="270"/>
      <c r="BB66" s="270"/>
      <c r="BC66" s="270"/>
      <c r="BD66" s="270"/>
      <c r="BE66" s="270"/>
      <c r="BF66" s="270"/>
      <c r="BG66" s="270"/>
      <c r="BH66" s="270"/>
      <c r="BI66" s="128">
        <v>5000</v>
      </c>
      <c r="BJ66" s="128"/>
      <c r="BK66" s="128"/>
      <c r="BL66" s="128">
        <v>0</v>
      </c>
      <c r="BM66" s="128">
        <f t="shared" si="68"/>
        <v>5000</v>
      </c>
      <c r="BN66" s="113"/>
      <c r="BO66" s="113"/>
      <c r="BP66" s="113"/>
      <c r="BQ66" s="113"/>
      <c r="BR66" s="113"/>
      <c r="BS66" s="113"/>
      <c r="BT66" s="113"/>
      <c r="BU66" s="113"/>
      <c r="BV66" s="113"/>
      <c r="BW66" s="113"/>
      <c r="BX66" s="113"/>
      <c r="BY66" s="113"/>
      <c r="BZ66" s="113"/>
      <c r="CA66" s="113"/>
      <c r="CB66" s="113"/>
      <c r="CC66" s="113"/>
      <c r="CD66" s="113"/>
      <c r="CE66" s="113"/>
      <c r="CF66" s="113"/>
      <c r="CG66" s="113"/>
      <c r="CH66" s="113"/>
      <c r="CI66" s="113"/>
      <c r="CJ66" s="113"/>
      <c r="CK66" s="113"/>
      <c r="CL66" s="113"/>
      <c r="CM66" s="113"/>
      <c r="CN66" s="113"/>
      <c r="CO66" s="113"/>
      <c r="CP66" s="113"/>
      <c r="CQ66" s="113"/>
      <c r="CR66" s="113"/>
    </row>
    <row r="67" spans="1:96" s="129" customFormat="1" ht="25.5">
      <c r="A67" s="182"/>
      <c r="C67" s="258" t="s">
        <v>151</v>
      </c>
      <c r="D67" s="187"/>
      <c r="E67" s="187"/>
      <c r="F67" s="187"/>
      <c r="G67" s="125"/>
      <c r="H67" s="125"/>
      <c r="I67" s="125"/>
      <c r="J67" s="125"/>
      <c r="K67" s="187"/>
      <c r="L67" s="187"/>
      <c r="M67" s="187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271"/>
      <c r="AE67" s="270"/>
      <c r="AF67" s="270"/>
      <c r="AG67" s="270"/>
      <c r="AH67" s="270"/>
      <c r="AI67" s="270"/>
      <c r="AJ67" s="270"/>
      <c r="AK67" s="270"/>
      <c r="AL67" s="270"/>
      <c r="AM67" s="270"/>
      <c r="AN67" s="270"/>
      <c r="AO67" s="270"/>
      <c r="AP67" s="270"/>
      <c r="AQ67" s="270"/>
      <c r="AR67" s="270"/>
      <c r="AS67" s="270"/>
      <c r="AT67" s="270"/>
      <c r="AU67" s="270"/>
      <c r="AV67" s="270"/>
      <c r="AW67" s="270"/>
      <c r="AX67" s="270"/>
      <c r="AY67" s="270"/>
      <c r="AZ67" s="270"/>
      <c r="BA67" s="270"/>
      <c r="BB67" s="270"/>
      <c r="BC67" s="270"/>
      <c r="BD67" s="270"/>
      <c r="BE67" s="270"/>
      <c r="BF67" s="270"/>
      <c r="BG67" s="270"/>
      <c r="BH67" s="270"/>
      <c r="BI67" s="128">
        <v>5000</v>
      </c>
      <c r="BJ67" s="128"/>
      <c r="BK67" s="128"/>
      <c r="BL67" s="128">
        <v>0</v>
      </c>
      <c r="BM67" s="128">
        <f t="shared" si="68"/>
        <v>5000</v>
      </c>
      <c r="BN67" s="113"/>
      <c r="BO67" s="113"/>
      <c r="BP67" s="113"/>
      <c r="BQ67" s="113"/>
      <c r="BR67" s="113"/>
      <c r="BS67" s="113"/>
      <c r="BT67" s="113"/>
      <c r="BU67" s="113"/>
      <c r="BV67" s="113"/>
      <c r="BW67" s="113"/>
      <c r="BX67" s="113"/>
      <c r="BY67" s="113"/>
      <c r="BZ67" s="113"/>
      <c r="CA67" s="113"/>
      <c r="CB67" s="113"/>
      <c r="CC67" s="113"/>
      <c r="CD67" s="113"/>
      <c r="CE67" s="113"/>
      <c r="CF67" s="113"/>
      <c r="CG67" s="113"/>
      <c r="CH67" s="113"/>
      <c r="CI67" s="113"/>
      <c r="CJ67" s="113"/>
      <c r="CK67" s="113"/>
      <c r="CL67" s="113"/>
      <c r="CM67" s="113"/>
      <c r="CN67" s="113"/>
      <c r="CO67" s="113"/>
      <c r="CP67" s="113"/>
      <c r="CQ67" s="113"/>
      <c r="CR67" s="113"/>
    </row>
    <row r="68" spans="1:96" s="129" customFormat="1" ht="13.5">
      <c r="A68" s="182"/>
      <c r="C68" s="258" t="s">
        <v>152</v>
      </c>
      <c r="D68" s="187"/>
      <c r="E68" s="187"/>
      <c r="F68" s="187"/>
      <c r="G68" s="125"/>
      <c r="H68" s="125"/>
      <c r="I68" s="125"/>
      <c r="J68" s="125"/>
      <c r="K68" s="187"/>
      <c r="L68" s="187"/>
      <c r="M68" s="187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271"/>
      <c r="AE68" s="270"/>
      <c r="AF68" s="270"/>
      <c r="AG68" s="270"/>
      <c r="AH68" s="270"/>
      <c r="AI68" s="270"/>
      <c r="AJ68" s="270"/>
      <c r="AK68" s="270"/>
      <c r="AL68" s="270"/>
      <c r="AM68" s="270"/>
      <c r="AN68" s="270"/>
      <c r="AO68" s="270"/>
      <c r="AP68" s="270"/>
      <c r="AQ68" s="270"/>
      <c r="AR68" s="270"/>
      <c r="AS68" s="270"/>
      <c r="AT68" s="270"/>
      <c r="AU68" s="270"/>
      <c r="AV68" s="270"/>
      <c r="AW68" s="270"/>
      <c r="AX68" s="270"/>
      <c r="AY68" s="270"/>
      <c r="AZ68" s="270"/>
      <c r="BA68" s="270"/>
      <c r="BB68" s="270"/>
      <c r="BC68" s="270"/>
      <c r="BD68" s="270"/>
      <c r="BE68" s="270"/>
      <c r="BF68" s="270"/>
      <c r="BG68" s="270"/>
      <c r="BH68" s="270"/>
      <c r="BI68" s="128">
        <v>2000</v>
      </c>
      <c r="BJ68" s="128"/>
      <c r="BK68" s="128"/>
      <c r="BL68" s="128">
        <v>0</v>
      </c>
      <c r="BM68" s="128">
        <f t="shared" si="68"/>
        <v>2000</v>
      </c>
      <c r="BN68" s="113"/>
      <c r="BO68" s="113"/>
      <c r="BP68" s="113"/>
      <c r="BQ68" s="113"/>
      <c r="BR68" s="113"/>
      <c r="BS68" s="113"/>
      <c r="BT68" s="113"/>
      <c r="BU68" s="113"/>
      <c r="BV68" s="113"/>
      <c r="BW68" s="113"/>
      <c r="BX68" s="113"/>
      <c r="BY68" s="113"/>
      <c r="BZ68" s="113"/>
      <c r="CA68" s="113"/>
      <c r="CB68" s="113"/>
      <c r="CC68" s="113"/>
      <c r="CD68" s="113"/>
      <c r="CE68" s="113"/>
      <c r="CF68" s="113"/>
      <c r="CG68" s="113"/>
      <c r="CH68" s="113"/>
      <c r="CI68" s="113"/>
      <c r="CJ68" s="113"/>
      <c r="CK68" s="113"/>
      <c r="CL68" s="113"/>
      <c r="CM68" s="113"/>
      <c r="CN68" s="113"/>
      <c r="CO68" s="113"/>
      <c r="CP68" s="113"/>
      <c r="CQ68" s="113"/>
      <c r="CR68" s="113"/>
    </row>
    <row r="69" spans="1:96" s="129" customFormat="1" ht="13.5">
      <c r="A69" s="182"/>
      <c r="C69" s="258" t="s">
        <v>153</v>
      </c>
      <c r="D69" s="187"/>
      <c r="E69" s="187"/>
      <c r="F69" s="187"/>
      <c r="G69" s="125"/>
      <c r="H69" s="125"/>
      <c r="I69" s="125"/>
      <c r="J69" s="125"/>
      <c r="K69" s="187"/>
      <c r="L69" s="187"/>
      <c r="M69" s="187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271"/>
      <c r="AE69" s="270"/>
      <c r="AF69" s="270"/>
      <c r="AG69" s="270"/>
      <c r="AH69" s="270"/>
      <c r="AI69" s="270"/>
      <c r="AJ69" s="270"/>
      <c r="AK69" s="270"/>
      <c r="AL69" s="270"/>
      <c r="AM69" s="270"/>
      <c r="AN69" s="270"/>
      <c r="AO69" s="270"/>
      <c r="AP69" s="270"/>
      <c r="AQ69" s="270"/>
      <c r="AR69" s="270"/>
      <c r="AS69" s="270"/>
      <c r="AT69" s="270"/>
      <c r="AU69" s="270"/>
      <c r="AV69" s="270"/>
      <c r="AW69" s="270"/>
      <c r="AX69" s="270"/>
      <c r="AY69" s="270"/>
      <c r="AZ69" s="270"/>
      <c r="BA69" s="270"/>
      <c r="BB69" s="270"/>
      <c r="BC69" s="270"/>
      <c r="BD69" s="270"/>
      <c r="BE69" s="270"/>
      <c r="BF69" s="270"/>
      <c r="BG69" s="270"/>
      <c r="BH69" s="270"/>
      <c r="BI69" s="128">
        <v>7000</v>
      </c>
      <c r="BJ69" s="128"/>
      <c r="BK69" s="128"/>
      <c r="BL69" s="128">
        <v>0</v>
      </c>
      <c r="BM69" s="128">
        <f t="shared" si="68"/>
        <v>7000</v>
      </c>
      <c r="BN69" s="113"/>
      <c r="BO69" s="113"/>
      <c r="BP69" s="113"/>
      <c r="BQ69" s="113"/>
      <c r="BR69" s="113"/>
      <c r="BS69" s="113"/>
      <c r="BT69" s="113"/>
      <c r="BU69" s="113"/>
      <c r="BV69" s="113"/>
      <c r="BW69" s="113"/>
      <c r="BX69" s="113"/>
      <c r="BY69" s="113"/>
      <c r="BZ69" s="113"/>
      <c r="CA69" s="113"/>
      <c r="CB69" s="113"/>
      <c r="CC69" s="113"/>
      <c r="CD69" s="113"/>
      <c r="CE69" s="113"/>
      <c r="CF69" s="113"/>
      <c r="CG69" s="113"/>
      <c r="CH69" s="113"/>
      <c r="CI69" s="113"/>
      <c r="CJ69" s="113"/>
      <c r="CK69" s="113"/>
      <c r="CL69" s="113"/>
      <c r="CM69" s="113"/>
      <c r="CN69" s="113"/>
      <c r="CO69" s="113"/>
      <c r="CP69" s="113"/>
      <c r="CQ69" s="113"/>
      <c r="CR69" s="113"/>
    </row>
    <row r="70" spans="1:96" s="129" customFormat="1" ht="13.5">
      <c r="A70" s="182"/>
      <c r="C70" s="258" t="s">
        <v>154</v>
      </c>
      <c r="D70" s="187"/>
      <c r="E70" s="187"/>
      <c r="F70" s="187"/>
      <c r="G70" s="125"/>
      <c r="H70" s="125"/>
      <c r="I70" s="125"/>
      <c r="J70" s="125"/>
      <c r="K70" s="187"/>
      <c r="L70" s="187"/>
      <c r="M70" s="187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271"/>
      <c r="AE70" s="270"/>
      <c r="AF70" s="270"/>
      <c r="AG70" s="270"/>
      <c r="AH70" s="270"/>
      <c r="AI70" s="270"/>
      <c r="AJ70" s="270"/>
      <c r="AK70" s="270"/>
      <c r="AL70" s="270"/>
      <c r="AM70" s="270"/>
      <c r="AN70" s="270"/>
      <c r="AO70" s="270"/>
      <c r="AP70" s="270"/>
      <c r="AQ70" s="270"/>
      <c r="AR70" s="270"/>
      <c r="AS70" s="270"/>
      <c r="AT70" s="270"/>
      <c r="AU70" s="270"/>
      <c r="AV70" s="270"/>
      <c r="AW70" s="270"/>
      <c r="AX70" s="270"/>
      <c r="AY70" s="270"/>
      <c r="AZ70" s="270"/>
      <c r="BA70" s="270"/>
      <c r="BB70" s="270"/>
      <c r="BC70" s="270"/>
      <c r="BD70" s="270"/>
      <c r="BE70" s="270"/>
      <c r="BF70" s="270"/>
      <c r="BG70" s="270"/>
      <c r="BH70" s="270"/>
      <c r="BI70" s="128">
        <v>7000</v>
      </c>
      <c r="BJ70" s="128"/>
      <c r="BK70" s="128"/>
      <c r="BL70" s="128">
        <v>0</v>
      </c>
      <c r="BM70" s="128">
        <f t="shared" si="68"/>
        <v>7000</v>
      </c>
      <c r="BN70" s="113"/>
      <c r="BO70" s="113"/>
      <c r="BP70" s="113"/>
      <c r="BQ70" s="113"/>
      <c r="BR70" s="113"/>
      <c r="BS70" s="113"/>
      <c r="BT70" s="113"/>
      <c r="BU70" s="113"/>
      <c r="BV70" s="113"/>
      <c r="BW70" s="113"/>
      <c r="BX70" s="113"/>
      <c r="BY70" s="113"/>
      <c r="BZ70" s="113"/>
      <c r="CA70" s="113"/>
      <c r="CB70" s="113"/>
      <c r="CC70" s="113"/>
      <c r="CD70" s="113"/>
      <c r="CE70" s="113"/>
      <c r="CF70" s="113"/>
      <c r="CG70" s="113"/>
      <c r="CH70" s="113"/>
      <c r="CI70" s="113"/>
      <c r="CJ70" s="113"/>
      <c r="CK70" s="113"/>
      <c r="CL70" s="113"/>
      <c r="CM70" s="113"/>
      <c r="CN70" s="113"/>
      <c r="CO70" s="113"/>
      <c r="CP70" s="113"/>
      <c r="CQ70" s="113"/>
      <c r="CR70" s="113"/>
    </row>
    <row r="71" spans="1:96" s="129" customFormat="1" ht="13.5">
      <c r="A71" s="182"/>
      <c r="C71" s="258" t="s">
        <v>155</v>
      </c>
      <c r="D71" s="187"/>
      <c r="E71" s="187"/>
      <c r="F71" s="187"/>
      <c r="G71" s="125"/>
      <c r="H71" s="125"/>
      <c r="I71" s="125"/>
      <c r="J71" s="125"/>
      <c r="K71" s="187"/>
      <c r="L71" s="187"/>
      <c r="M71" s="187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271"/>
      <c r="AE71" s="270"/>
      <c r="AF71" s="270"/>
      <c r="AG71" s="270"/>
      <c r="AH71" s="270"/>
      <c r="AI71" s="270"/>
      <c r="AJ71" s="270"/>
      <c r="AK71" s="270"/>
      <c r="AL71" s="270"/>
      <c r="AM71" s="270"/>
      <c r="AN71" s="270"/>
      <c r="AO71" s="270"/>
      <c r="AP71" s="270"/>
      <c r="AQ71" s="270"/>
      <c r="AR71" s="270"/>
      <c r="AS71" s="270"/>
      <c r="AT71" s="270"/>
      <c r="AU71" s="270"/>
      <c r="AV71" s="270"/>
      <c r="AW71" s="270"/>
      <c r="AX71" s="270"/>
      <c r="AY71" s="270"/>
      <c r="AZ71" s="270"/>
      <c r="BA71" s="270"/>
      <c r="BB71" s="270"/>
      <c r="BC71" s="270"/>
      <c r="BD71" s="270"/>
      <c r="BE71" s="270"/>
      <c r="BF71" s="270"/>
      <c r="BG71" s="270"/>
      <c r="BH71" s="270"/>
      <c r="BI71" s="128">
        <v>2000</v>
      </c>
      <c r="BJ71" s="128"/>
      <c r="BK71" s="128"/>
      <c r="BL71" s="128">
        <v>0</v>
      </c>
      <c r="BM71" s="128">
        <f t="shared" si="68"/>
        <v>2000</v>
      </c>
      <c r="BN71" s="113"/>
      <c r="BO71" s="113"/>
      <c r="BP71" s="113"/>
      <c r="BQ71" s="113"/>
      <c r="BR71" s="113"/>
      <c r="BS71" s="113"/>
      <c r="BT71" s="113"/>
      <c r="BU71" s="113"/>
      <c r="BV71" s="113"/>
      <c r="BW71" s="113"/>
      <c r="BX71" s="113"/>
      <c r="BY71" s="113"/>
      <c r="BZ71" s="113"/>
      <c r="CA71" s="113"/>
      <c r="CB71" s="113"/>
      <c r="CC71" s="113"/>
      <c r="CD71" s="113"/>
      <c r="CE71" s="113"/>
      <c r="CF71" s="113"/>
      <c r="CG71" s="113"/>
      <c r="CH71" s="113"/>
      <c r="CI71" s="113"/>
      <c r="CJ71" s="113"/>
      <c r="CK71" s="113"/>
      <c r="CL71" s="113"/>
      <c r="CM71" s="113"/>
      <c r="CN71" s="113"/>
      <c r="CO71" s="113"/>
      <c r="CP71" s="113"/>
      <c r="CQ71" s="113"/>
      <c r="CR71" s="113"/>
    </row>
    <row r="72" spans="1:96" s="129" customFormat="1" ht="13.5">
      <c r="A72" s="182"/>
      <c r="C72" s="462" t="s">
        <v>156</v>
      </c>
      <c r="D72" s="187"/>
      <c r="E72" s="187"/>
      <c r="F72" s="187"/>
      <c r="G72" s="125"/>
      <c r="H72" s="125"/>
      <c r="I72" s="125"/>
      <c r="J72" s="125"/>
      <c r="K72" s="187"/>
      <c r="L72" s="187"/>
      <c r="M72" s="187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271"/>
      <c r="AE72" s="270"/>
      <c r="AF72" s="270"/>
      <c r="AG72" s="270"/>
      <c r="AH72" s="270"/>
      <c r="AI72" s="270"/>
      <c r="AJ72" s="270"/>
      <c r="AK72" s="270"/>
      <c r="AL72" s="270"/>
      <c r="AM72" s="270"/>
      <c r="AN72" s="270"/>
      <c r="AO72" s="270"/>
      <c r="AP72" s="270"/>
      <c r="AQ72" s="270"/>
      <c r="AR72" s="270"/>
      <c r="AS72" s="270"/>
      <c r="AT72" s="270"/>
      <c r="AU72" s="270"/>
      <c r="AV72" s="270"/>
      <c r="AW72" s="270"/>
      <c r="AX72" s="270"/>
      <c r="AY72" s="270"/>
      <c r="AZ72" s="270"/>
      <c r="BA72" s="270"/>
      <c r="BB72" s="270"/>
      <c r="BC72" s="270"/>
      <c r="BD72" s="270"/>
      <c r="BE72" s="270"/>
      <c r="BF72" s="270"/>
      <c r="BG72" s="270"/>
      <c r="BH72" s="270"/>
      <c r="BI72" s="113">
        <f>BI73+BI74+BI75</f>
        <v>8000</v>
      </c>
      <c r="BJ72" s="113">
        <f t="shared" ref="BJ72:BL72" si="81">BJ73+BJ74+BJ75</f>
        <v>0</v>
      </c>
      <c r="BK72" s="113">
        <f t="shared" si="81"/>
        <v>0</v>
      </c>
      <c r="BL72" s="113">
        <f t="shared" si="81"/>
        <v>0</v>
      </c>
      <c r="BM72" s="113">
        <f t="shared" si="68"/>
        <v>8000</v>
      </c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113"/>
      <c r="CF72" s="113"/>
      <c r="CG72" s="113"/>
      <c r="CH72" s="113"/>
      <c r="CI72" s="113"/>
      <c r="CJ72" s="113"/>
      <c r="CK72" s="113"/>
      <c r="CL72" s="113"/>
      <c r="CM72" s="113"/>
      <c r="CN72" s="113"/>
      <c r="CO72" s="113"/>
      <c r="CP72" s="113"/>
      <c r="CQ72" s="113"/>
      <c r="CR72" s="113"/>
    </row>
    <row r="73" spans="1:96" s="129" customFormat="1" ht="14.25" customHeight="1">
      <c r="A73" s="182"/>
      <c r="C73" s="463" t="s">
        <v>266</v>
      </c>
      <c r="D73" s="187"/>
      <c r="E73" s="187"/>
      <c r="F73" s="187"/>
      <c r="G73" s="125"/>
      <c r="H73" s="125"/>
      <c r="I73" s="125"/>
      <c r="J73" s="125"/>
      <c r="K73" s="187"/>
      <c r="L73" s="187"/>
      <c r="M73" s="187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271"/>
      <c r="AE73" s="270"/>
      <c r="AF73" s="270"/>
      <c r="AG73" s="270"/>
      <c r="AH73" s="270"/>
      <c r="AI73" s="270"/>
      <c r="AJ73" s="270"/>
      <c r="AK73" s="270"/>
      <c r="AL73" s="270"/>
      <c r="AM73" s="270"/>
      <c r="AN73" s="270"/>
      <c r="AO73" s="270"/>
      <c r="AP73" s="270"/>
      <c r="AQ73" s="270"/>
      <c r="AR73" s="270"/>
      <c r="AS73" s="270"/>
      <c r="AT73" s="270"/>
      <c r="AU73" s="270"/>
      <c r="AV73" s="270"/>
      <c r="AW73" s="270"/>
      <c r="AX73" s="270"/>
      <c r="AY73" s="270"/>
      <c r="AZ73" s="270"/>
      <c r="BA73" s="270"/>
      <c r="BB73" s="270"/>
      <c r="BC73" s="270"/>
      <c r="BD73" s="270"/>
      <c r="BE73" s="270"/>
      <c r="BF73" s="270"/>
      <c r="BG73" s="270"/>
      <c r="BH73" s="270"/>
      <c r="BI73" s="128">
        <v>1700</v>
      </c>
      <c r="BJ73" s="128"/>
      <c r="BK73" s="128"/>
      <c r="BL73" s="128">
        <v>0</v>
      </c>
      <c r="BM73" s="128">
        <f t="shared" si="68"/>
        <v>1700</v>
      </c>
      <c r="BN73" s="113"/>
      <c r="BO73" s="113"/>
      <c r="BP73" s="113"/>
      <c r="BQ73" s="113"/>
      <c r="BR73" s="113"/>
      <c r="BS73" s="113"/>
      <c r="BT73" s="113"/>
      <c r="BU73" s="113"/>
      <c r="BV73" s="113"/>
      <c r="BW73" s="113"/>
      <c r="BX73" s="113"/>
      <c r="BY73" s="113"/>
      <c r="BZ73" s="113"/>
      <c r="CA73" s="113"/>
      <c r="CB73" s="113"/>
      <c r="CC73" s="113"/>
      <c r="CD73" s="113"/>
      <c r="CE73" s="113"/>
      <c r="CF73" s="113"/>
      <c r="CG73" s="113"/>
      <c r="CH73" s="113"/>
      <c r="CI73" s="113"/>
      <c r="CJ73" s="113"/>
      <c r="CK73" s="113"/>
      <c r="CL73" s="113"/>
      <c r="CM73" s="113"/>
      <c r="CN73" s="113"/>
      <c r="CO73" s="113"/>
      <c r="CP73" s="113"/>
      <c r="CQ73" s="113"/>
      <c r="CR73" s="113"/>
    </row>
    <row r="74" spans="1:96" s="129" customFormat="1" ht="18" customHeight="1">
      <c r="A74" s="182"/>
      <c r="C74" s="463" t="s">
        <v>266</v>
      </c>
      <c r="D74" s="187"/>
      <c r="E74" s="187"/>
      <c r="F74" s="187"/>
      <c r="G74" s="125"/>
      <c r="H74" s="125"/>
      <c r="I74" s="125"/>
      <c r="J74" s="125"/>
      <c r="K74" s="187"/>
      <c r="L74" s="187"/>
      <c r="M74" s="187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271"/>
      <c r="AE74" s="270"/>
      <c r="AF74" s="270"/>
      <c r="AG74" s="270"/>
      <c r="AH74" s="270"/>
      <c r="AI74" s="270"/>
      <c r="AJ74" s="270"/>
      <c r="AK74" s="270"/>
      <c r="AL74" s="270"/>
      <c r="AM74" s="270"/>
      <c r="AN74" s="270"/>
      <c r="AO74" s="270"/>
      <c r="AP74" s="270"/>
      <c r="AQ74" s="270"/>
      <c r="AR74" s="270"/>
      <c r="AS74" s="270"/>
      <c r="AT74" s="270"/>
      <c r="AU74" s="270"/>
      <c r="AV74" s="270"/>
      <c r="AW74" s="270"/>
      <c r="AX74" s="270"/>
      <c r="AY74" s="270"/>
      <c r="AZ74" s="270"/>
      <c r="BA74" s="270"/>
      <c r="BB74" s="270"/>
      <c r="BC74" s="270"/>
      <c r="BD74" s="270"/>
      <c r="BE74" s="270"/>
      <c r="BF74" s="270"/>
      <c r="BG74" s="270"/>
      <c r="BH74" s="270"/>
      <c r="BI74" s="128">
        <v>3000</v>
      </c>
      <c r="BJ74" s="128"/>
      <c r="BK74" s="128"/>
      <c r="BL74" s="128">
        <v>0</v>
      </c>
      <c r="BM74" s="128">
        <f t="shared" si="68"/>
        <v>3000</v>
      </c>
      <c r="BN74" s="113"/>
      <c r="BO74" s="113"/>
      <c r="BP74" s="113"/>
      <c r="BQ74" s="113"/>
      <c r="BR74" s="113"/>
      <c r="BS74" s="113"/>
      <c r="BT74" s="113"/>
      <c r="BU74" s="113"/>
      <c r="BV74" s="113"/>
      <c r="BW74" s="113"/>
      <c r="BX74" s="113"/>
      <c r="BY74" s="113"/>
      <c r="BZ74" s="113"/>
      <c r="CA74" s="113"/>
      <c r="CB74" s="113"/>
      <c r="CC74" s="113"/>
      <c r="CD74" s="113"/>
      <c r="CE74" s="113"/>
      <c r="CF74" s="113"/>
      <c r="CG74" s="113"/>
      <c r="CH74" s="113"/>
      <c r="CI74" s="113"/>
      <c r="CJ74" s="113"/>
      <c r="CK74" s="113"/>
      <c r="CL74" s="113"/>
      <c r="CM74" s="113"/>
      <c r="CN74" s="113"/>
      <c r="CO74" s="113"/>
      <c r="CP74" s="113"/>
      <c r="CQ74" s="113"/>
      <c r="CR74" s="113"/>
    </row>
    <row r="75" spans="1:96" s="129" customFormat="1" ht="15" customHeight="1">
      <c r="A75" s="182"/>
      <c r="C75" s="463" t="s">
        <v>267</v>
      </c>
      <c r="D75" s="187"/>
      <c r="E75" s="187"/>
      <c r="F75" s="187"/>
      <c r="G75" s="125"/>
      <c r="H75" s="125"/>
      <c r="I75" s="125"/>
      <c r="J75" s="125"/>
      <c r="K75" s="187"/>
      <c r="L75" s="187"/>
      <c r="M75" s="187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271"/>
      <c r="AE75" s="270"/>
      <c r="AF75" s="270"/>
      <c r="AG75" s="270"/>
      <c r="AH75" s="270"/>
      <c r="AI75" s="270"/>
      <c r="AJ75" s="270"/>
      <c r="AK75" s="270"/>
      <c r="AL75" s="270"/>
      <c r="AM75" s="270"/>
      <c r="AN75" s="270"/>
      <c r="AO75" s="270"/>
      <c r="AP75" s="270"/>
      <c r="AQ75" s="270"/>
      <c r="AR75" s="270"/>
      <c r="AS75" s="270"/>
      <c r="AT75" s="270"/>
      <c r="AU75" s="270"/>
      <c r="AV75" s="270"/>
      <c r="AW75" s="270"/>
      <c r="AX75" s="270"/>
      <c r="AY75" s="270"/>
      <c r="AZ75" s="270"/>
      <c r="BA75" s="270"/>
      <c r="BB75" s="270"/>
      <c r="BC75" s="270"/>
      <c r="BD75" s="270"/>
      <c r="BE75" s="270"/>
      <c r="BF75" s="270"/>
      <c r="BG75" s="270"/>
      <c r="BH75" s="270"/>
      <c r="BI75" s="128">
        <v>3300</v>
      </c>
      <c r="BJ75" s="128"/>
      <c r="BK75" s="128"/>
      <c r="BL75" s="128">
        <v>0</v>
      </c>
      <c r="BM75" s="128">
        <f t="shared" si="68"/>
        <v>3300</v>
      </c>
      <c r="BN75" s="113"/>
      <c r="BO75" s="113"/>
      <c r="BP75" s="113"/>
      <c r="BQ75" s="113"/>
      <c r="BR75" s="113"/>
      <c r="BS75" s="113"/>
      <c r="BT75" s="113"/>
      <c r="BU75" s="113"/>
      <c r="BV75" s="113"/>
      <c r="BW75" s="113"/>
      <c r="BX75" s="113"/>
      <c r="BY75" s="113"/>
      <c r="BZ75" s="113"/>
      <c r="CA75" s="113"/>
      <c r="CB75" s="113"/>
      <c r="CC75" s="113"/>
      <c r="CD75" s="113"/>
      <c r="CE75" s="113"/>
      <c r="CF75" s="113"/>
      <c r="CG75" s="113"/>
      <c r="CH75" s="113"/>
      <c r="CI75" s="113"/>
      <c r="CJ75" s="113"/>
      <c r="CK75" s="113"/>
      <c r="CL75" s="113"/>
      <c r="CM75" s="113"/>
      <c r="CN75" s="113"/>
      <c r="CO75" s="113"/>
      <c r="CP75" s="113"/>
      <c r="CQ75" s="113"/>
      <c r="CR75" s="113"/>
    </row>
    <row r="76" spans="1:96" s="129" customFormat="1" ht="25.5" customHeight="1">
      <c r="A76" s="182"/>
      <c r="C76" s="258" t="s">
        <v>157</v>
      </c>
      <c r="D76" s="187"/>
      <c r="E76" s="187"/>
      <c r="F76" s="187"/>
      <c r="G76" s="125"/>
      <c r="H76" s="125"/>
      <c r="I76" s="125"/>
      <c r="J76" s="125"/>
      <c r="K76" s="187"/>
      <c r="L76" s="187"/>
      <c r="M76" s="187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271"/>
      <c r="AE76" s="270"/>
      <c r="AF76" s="270"/>
      <c r="AG76" s="270"/>
      <c r="AH76" s="270"/>
      <c r="AI76" s="270"/>
      <c r="AJ76" s="270"/>
      <c r="AK76" s="270"/>
      <c r="AL76" s="270"/>
      <c r="AM76" s="270"/>
      <c r="AN76" s="270"/>
      <c r="AO76" s="270"/>
      <c r="AP76" s="270"/>
      <c r="AQ76" s="270"/>
      <c r="AR76" s="270"/>
      <c r="AS76" s="270"/>
      <c r="AT76" s="270"/>
      <c r="AU76" s="270"/>
      <c r="AV76" s="270"/>
      <c r="AW76" s="270"/>
      <c r="AX76" s="270"/>
      <c r="AY76" s="270"/>
      <c r="AZ76" s="270"/>
      <c r="BA76" s="270"/>
      <c r="BB76" s="270"/>
      <c r="BC76" s="270"/>
      <c r="BD76" s="270"/>
      <c r="BE76" s="270"/>
      <c r="BF76" s="270"/>
      <c r="BG76" s="270"/>
      <c r="BH76" s="270"/>
      <c r="BI76" s="128">
        <v>4000</v>
      </c>
      <c r="BJ76" s="128"/>
      <c r="BK76" s="128"/>
      <c r="BL76" s="128">
        <v>0</v>
      </c>
      <c r="BM76" s="128">
        <f t="shared" si="68"/>
        <v>4000</v>
      </c>
      <c r="BN76" s="113"/>
      <c r="BO76" s="113"/>
      <c r="BP76" s="113"/>
      <c r="BQ76" s="113"/>
      <c r="BR76" s="113"/>
      <c r="BS76" s="113"/>
      <c r="BT76" s="113"/>
      <c r="BU76" s="113"/>
      <c r="BV76" s="113"/>
      <c r="BW76" s="113"/>
      <c r="BX76" s="113"/>
      <c r="BY76" s="113"/>
      <c r="BZ76" s="113"/>
      <c r="CA76" s="113"/>
      <c r="CB76" s="113"/>
      <c r="CC76" s="113"/>
      <c r="CD76" s="113"/>
      <c r="CE76" s="113"/>
      <c r="CF76" s="113"/>
      <c r="CG76" s="113"/>
      <c r="CH76" s="113"/>
      <c r="CI76" s="113"/>
      <c r="CJ76" s="113"/>
      <c r="CK76" s="113"/>
      <c r="CL76" s="113"/>
      <c r="CM76" s="113"/>
      <c r="CN76" s="113"/>
      <c r="CO76" s="113"/>
      <c r="CP76" s="113"/>
      <c r="CQ76" s="113"/>
      <c r="CR76" s="113"/>
    </row>
    <row r="77" spans="1:96" s="25" customFormat="1" ht="15" customHeight="1">
      <c r="A77" s="485" t="s">
        <v>11</v>
      </c>
      <c r="B77" s="486"/>
      <c r="C77" s="487"/>
      <c r="D77" s="130" t="e">
        <f>#REF!+#REF!</f>
        <v>#REF!</v>
      </c>
      <c r="E77" s="130" t="e">
        <f>#REF!+#REF!</f>
        <v>#REF!</v>
      </c>
      <c r="F77" s="130" t="e">
        <f>#REF!+#REF!</f>
        <v>#REF!</v>
      </c>
      <c r="G77" s="114" t="e">
        <f>SUM(#REF!)</f>
        <v>#REF!</v>
      </c>
      <c r="H77" s="114" t="e">
        <f>D77+G77</f>
        <v>#REF!</v>
      </c>
      <c r="I77" s="114"/>
      <c r="J77" s="114" t="e">
        <f>F77+I77</f>
        <v>#REF!</v>
      </c>
      <c r="K77" s="130">
        <v>20000</v>
      </c>
      <c r="L77" s="130"/>
      <c r="M77" s="130"/>
      <c r="N77" s="114" t="e">
        <f>J77+M77</f>
        <v>#REF!</v>
      </c>
      <c r="O77" s="114"/>
      <c r="P77" s="114" t="e">
        <f>N77+O77</f>
        <v>#REF!</v>
      </c>
      <c r="Q77" s="114"/>
      <c r="R77" s="114" t="e">
        <f>P77+Q77</f>
        <v>#REF!</v>
      </c>
      <c r="S77" s="114"/>
      <c r="T77" s="114" t="e">
        <f>R77+S77</f>
        <v>#REF!</v>
      </c>
      <c r="U77" s="114"/>
      <c r="V77" s="114" t="e">
        <f>T77+U77</f>
        <v>#REF!</v>
      </c>
      <c r="W77" s="114"/>
      <c r="X77" s="114" t="e">
        <f>V77+W77</f>
        <v>#REF!</v>
      </c>
      <c r="Y77" s="114"/>
      <c r="Z77" s="114" t="e">
        <f>X77+Y77</f>
        <v>#REF!</v>
      </c>
      <c r="AA77" s="114"/>
      <c r="AB77" s="114" t="e">
        <f>Z77+AA77</f>
        <v>#REF!</v>
      </c>
      <c r="AC77" s="114"/>
      <c r="AD77" s="124"/>
      <c r="AE77" s="114" t="e">
        <f>#REF!+AE3+AE18+#REF!</f>
        <v>#REF!</v>
      </c>
      <c r="AF77" s="114" t="str">
        <f>AF3</f>
        <v>изменения (+,-)</v>
      </c>
      <c r="AG77" s="114" t="e">
        <f>AE77+AF77</f>
        <v>#REF!</v>
      </c>
      <c r="AH77" s="114" t="e">
        <f>AH18+#REF!+#REF!</f>
        <v>#REF!</v>
      </c>
      <c r="AI77" s="114" t="e">
        <f>AG77+AH77</f>
        <v>#REF!</v>
      </c>
      <c r="AJ77" s="114" t="e">
        <f>AJ18+#REF!+#REF!</f>
        <v>#REF!</v>
      </c>
      <c r="AK77" s="114" t="e">
        <f>AI77+AJ77</f>
        <v>#REF!</v>
      </c>
      <c r="AL77" s="114"/>
      <c r="AM77" s="114" t="e">
        <f>AK77+AL77</f>
        <v>#REF!</v>
      </c>
      <c r="AN77" s="114"/>
      <c r="AO77" s="114" t="e">
        <f>AM77+AN77</f>
        <v>#REF!</v>
      </c>
      <c r="AP77" s="114"/>
      <c r="AQ77" s="114" t="e">
        <f>AO77+AP77</f>
        <v>#REF!</v>
      </c>
      <c r="AR77" s="114" t="e">
        <f>#REF!+AR3+AR18+#REF!+#REF!+#REF!</f>
        <v>#REF!</v>
      </c>
      <c r="AS77" s="114" t="e">
        <f>AQ77+AR77</f>
        <v>#REF!</v>
      </c>
      <c r="AT77" s="114"/>
      <c r="AU77" s="114" t="e">
        <f>AS77+AT77</f>
        <v>#REF!</v>
      </c>
      <c r="AV77" s="114"/>
      <c r="AW77" s="114" t="e">
        <f>#REF!+AW3+AW18+#REF!+#REF!+#REF!</f>
        <v>#REF!</v>
      </c>
      <c r="AX77" s="114"/>
      <c r="AY77" s="114" t="e">
        <f t="shared" ref="AY77:AY79" si="82">AX77+AW77</f>
        <v>#REF!</v>
      </c>
      <c r="AZ77" s="114"/>
      <c r="BA77" s="114" t="e">
        <f>#REF!+#REF!+#REF!+BA18+BA3+#REF!</f>
        <v>#REF!</v>
      </c>
      <c r="BB77" s="114"/>
      <c r="BC77" s="114" t="e">
        <f>#REF!+#REF!+#REF!+BC18+BC3+#REF!</f>
        <v>#REF!</v>
      </c>
      <c r="BD77" s="114" t="e">
        <f>#REF!+#REF!+#REF!+BD18+BD3+#REF!</f>
        <v>#REF!</v>
      </c>
      <c r="BE77" s="114" t="e">
        <f>#REF!+#REF!+#REF!+BE18+BE3+#REF!</f>
        <v>#REF!</v>
      </c>
      <c r="BF77" s="114"/>
      <c r="BG77" s="114" t="e">
        <f>#REF!+#REF!+#REF!+BG18+BG3+#REF!</f>
        <v>#REF!</v>
      </c>
      <c r="BH77" s="114">
        <v>0</v>
      </c>
      <c r="BI77" s="114">
        <f>BI37+BI38+BI39+BI47+BI49+BI50+BI52+BI62</f>
        <v>700000</v>
      </c>
      <c r="BJ77" s="114">
        <f>BJ37+BJ38+BJ39+BJ47+BJ49+BJ50+BJ52+BJ62</f>
        <v>308454</v>
      </c>
      <c r="BK77" s="114">
        <f>BK37+BK38+BK39+BK47+BK49+BK50+BK52+BK62</f>
        <v>308454</v>
      </c>
      <c r="BL77" s="114">
        <f>BL37+BL38+BL39+BL47+BL49+BL50+BL52+BL62</f>
        <v>0</v>
      </c>
      <c r="BM77" s="114">
        <f>BI77+BL77</f>
        <v>700000</v>
      </c>
      <c r="BN77" s="468"/>
      <c r="BO77" s="468"/>
      <c r="BP77" s="468"/>
      <c r="BQ77" s="468"/>
      <c r="BR77" s="468"/>
      <c r="BS77" s="468"/>
      <c r="BT77" s="468"/>
      <c r="BU77" s="468"/>
      <c r="BV77" s="468"/>
      <c r="BW77" s="468"/>
      <c r="BX77" s="468"/>
      <c r="BY77" s="468"/>
      <c r="BZ77" s="468"/>
      <c r="CA77" s="468"/>
      <c r="CB77" s="468"/>
      <c r="CC77" s="468"/>
      <c r="CD77" s="468"/>
      <c r="CE77" s="468"/>
      <c r="CF77" s="468"/>
      <c r="CG77" s="468"/>
      <c r="CH77" s="468"/>
      <c r="CI77" s="468"/>
      <c r="CJ77" s="468"/>
      <c r="CK77" s="468"/>
      <c r="CL77" s="468"/>
      <c r="CM77" s="468"/>
      <c r="CN77" s="468"/>
      <c r="CO77" s="468"/>
      <c r="CP77" s="468"/>
      <c r="CQ77" s="468"/>
      <c r="CR77" s="468"/>
    </row>
    <row r="78" spans="1:96" s="123" customFormat="1" ht="16.5" customHeight="1">
      <c r="A78" s="177" t="s">
        <v>74</v>
      </c>
      <c r="B78" s="129">
        <v>211</v>
      </c>
      <c r="C78" s="152" t="s">
        <v>3</v>
      </c>
      <c r="D78" s="176">
        <f>115207+1326044.8</f>
        <v>1441251.8</v>
      </c>
      <c r="E78" s="176">
        <f>D78*1.037</f>
        <v>1494578.1165999998</v>
      </c>
      <c r="F78" s="176">
        <f>E78</f>
        <v>1494578.1165999998</v>
      </c>
      <c r="G78" s="113">
        <f>503840.25-24358.32</f>
        <v>479481.93</v>
      </c>
      <c r="H78" s="113">
        <f>D78+G78</f>
        <v>1920733.73</v>
      </c>
      <c r="I78" s="113"/>
      <c r="J78" s="113">
        <f>H78+I78</f>
        <v>1920733.73</v>
      </c>
      <c r="K78" s="176">
        <v>1494578.1165999998</v>
      </c>
      <c r="L78" s="176">
        <f>503840.25-25576.24</f>
        <v>478264.01</v>
      </c>
      <c r="M78" s="176">
        <v>38402.449999999997</v>
      </c>
      <c r="N78" s="113">
        <f>J78+M78</f>
        <v>1959136.18</v>
      </c>
      <c r="O78" s="113"/>
      <c r="P78" s="113">
        <f>N78+O78</f>
        <v>1959136.18</v>
      </c>
      <c r="Q78" s="113"/>
      <c r="R78" s="113">
        <f>P78+Q78</f>
        <v>1959136.18</v>
      </c>
      <c r="S78" s="113"/>
      <c r="T78" s="113">
        <f>R78+S78</f>
        <v>1959136.18</v>
      </c>
      <c r="U78" s="113">
        <v>18043</v>
      </c>
      <c r="V78" s="113">
        <f>T78+U78</f>
        <v>1977179.18</v>
      </c>
      <c r="W78" s="113"/>
      <c r="X78" s="113">
        <f>V78+W78</f>
        <v>1977179.18</v>
      </c>
      <c r="Y78" s="113"/>
      <c r="Z78" s="113">
        <f>X78+Y78</f>
        <v>1977179.18</v>
      </c>
      <c r="AA78" s="113"/>
      <c r="AB78" s="113">
        <f>Z78+AA78</f>
        <v>1977179.18</v>
      </c>
      <c r="AC78" s="113"/>
      <c r="AD78" s="177" t="s">
        <v>79</v>
      </c>
      <c r="AE78" s="113">
        <v>1991625.23</v>
      </c>
      <c r="AF78" s="113">
        <v>-26740</v>
      </c>
      <c r="AG78" s="113">
        <f t="shared" ref="AG78:AG79" si="83">AE78+AF78</f>
        <v>1964885.23</v>
      </c>
      <c r="AH78" s="113"/>
      <c r="AI78" s="113">
        <f t="shared" ref="AI78:AI79" si="84">AG78+AH78</f>
        <v>1964885.23</v>
      </c>
      <c r="AJ78" s="113"/>
      <c r="AK78" s="113">
        <f t="shared" ref="AK78:AK79" si="85">AI78+AJ78</f>
        <v>1964885.23</v>
      </c>
      <c r="AL78" s="113">
        <v>13299.5</v>
      </c>
      <c r="AM78" s="113">
        <f t="shared" ref="AM78:AM79" si="86">AK78+AL78</f>
        <v>1978184.73</v>
      </c>
      <c r="AN78" s="113"/>
      <c r="AO78" s="113">
        <f t="shared" ref="AO78:AO79" si="87">AM78+AN78</f>
        <v>1978184.73</v>
      </c>
      <c r="AP78" s="113"/>
      <c r="AQ78" s="113">
        <f t="shared" ref="AQ78:AQ79" si="88">AO78+AP78</f>
        <v>1978184.73</v>
      </c>
      <c r="AR78" s="113"/>
      <c r="AS78" s="113">
        <f t="shared" ref="AS78:AS79" si="89">AQ78+AR78</f>
        <v>1978184.73</v>
      </c>
      <c r="AT78" s="113"/>
      <c r="AU78" s="113">
        <f t="shared" ref="AU78:AU79" si="90">AS78+AT78</f>
        <v>1978184.73</v>
      </c>
      <c r="AV78" s="113"/>
      <c r="AW78" s="113">
        <f>2328154.75</f>
        <v>2328154.75</v>
      </c>
      <c r="AX78" s="113">
        <v>-55944</v>
      </c>
      <c r="AY78" s="113">
        <f t="shared" si="82"/>
        <v>2272210.75</v>
      </c>
      <c r="AZ78" s="113"/>
      <c r="BA78" s="113">
        <f>AZ78+AY78</f>
        <v>2272210.75</v>
      </c>
      <c r="BB78" s="113"/>
      <c r="BC78" s="113">
        <f>BB78+BA78</f>
        <v>2272210.75</v>
      </c>
      <c r="BD78" s="113"/>
      <c r="BE78" s="113">
        <f t="shared" ref="BE78:BE79" si="91">BC78+BD78</f>
        <v>2272210.75</v>
      </c>
      <c r="BF78" s="113">
        <v>20002</v>
      </c>
      <c r="BG78" s="113">
        <f t="shared" ref="BG78:BG79" si="92">BE78+BF78</f>
        <v>2292212.75</v>
      </c>
      <c r="BH78" s="113"/>
      <c r="BI78" s="113">
        <v>3945261.02</v>
      </c>
      <c r="BJ78" s="113">
        <v>4147207.4</v>
      </c>
      <c r="BK78" s="113">
        <v>4147207.4</v>
      </c>
      <c r="BL78" s="113">
        <v>0</v>
      </c>
      <c r="BM78" s="113">
        <f>BI78+BL78</f>
        <v>3945261.02</v>
      </c>
    </row>
    <row r="79" spans="1:96" s="123" customFormat="1" ht="15" customHeight="1">
      <c r="A79" s="90"/>
      <c r="B79" s="25">
        <v>213</v>
      </c>
      <c r="C79" s="87" t="s">
        <v>4</v>
      </c>
      <c r="D79" s="100">
        <f>34893+400465.38</f>
        <v>435358.38</v>
      </c>
      <c r="E79" s="100">
        <v>451666.63</v>
      </c>
      <c r="F79" s="100">
        <f>E79</f>
        <v>451666.63</v>
      </c>
      <c r="G79" s="468">
        <f>152159.75-7356.21</f>
        <v>144803.54</v>
      </c>
      <c r="H79" s="468">
        <f>D79+G79</f>
        <v>580161.92000000004</v>
      </c>
      <c r="I79" s="468"/>
      <c r="J79" s="468">
        <f>H79+I79</f>
        <v>580161.92000000004</v>
      </c>
      <c r="K79" s="100">
        <v>451466.64</v>
      </c>
      <c r="L79" s="100">
        <f>152159.75-7724.02</f>
        <v>144435.73000000001</v>
      </c>
      <c r="M79" s="100">
        <v>11597.55</v>
      </c>
      <c r="N79" s="468">
        <f>J79+M79</f>
        <v>591759.47000000009</v>
      </c>
      <c r="O79" s="468"/>
      <c r="P79" s="468">
        <f>N79+O79</f>
        <v>591759.47000000009</v>
      </c>
      <c r="Q79" s="468"/>
      <c r="R79" s="468">
        <f>P79+Q79</f>
        <v>591759.47000000009</v>
      </c>
      <c r="S79" s="468"/>
      <c r="T79" s="468">
        <f>R79+S79</f>
        <v>591759.47000000009</v>
      </c>
      <c r="U79" s="468">
        <v>5449</v>
      </c>
      <c r="V79" s="468">
        <f>T79+U79</f>
        <v>597208.47000000009</v>
      </c>
      <c r="W79" s="468"/>
      <c r="X79" s="468">
        <f>V79+W79</f>
        <v>597208.47000000009</v>
      </c>
      <c r="Y79" s="468"/>
      <c r="Z79" s="468">
        <f>X79+Y79</f>
        <v>597208.47000000009</v>
      </c>
      <c r="AA79" s="468"/>
      <c r="AB79" s="468">
        <f>Z79+AA79</f>
        <v>597208.47000000009</v>
      </c>
      <c r="AC79" s="468"/>
      <c r="AD79" s="90" t="s">
        <v>80</v>
      </c>
      <c r="AE79" s="468">
        <v>601470.81999999995</v>
      </c>
      <c r="AF79" s="468">
        <v>-8075.48</v>
      </c>
      <c r="AG79" s="468">
        <f t="shared" si="83"/>
        <v>593395.34</v>
      </c>
      <c r="AH79" s="468"/>
      <c r="AI79" s="468">
        <f t="shared" si="84"/>
        <v>593395.34</v>
      </c>
      <c r="AJ79" s="468"/>
      <c r="AK79" s="468">
        <f t="shared" si="85"/>
        <v>593395.34</v>
      </c>
      <c r="AL79" s="468">
        <v>4016.5</v>
      </c>
      <c r="AM79" s="468">
        <f t="shared" si="86"/>
        <v>597411.83999999997</v>
      </c>
      <c r="AN79" s="468"/>
      <c r="AO79" s="468">
        <f t="shared" si="87"/>
        <v>597411.83999999997</v>
      </c>
      <c r="AP79" s="468"/>
      <c r="AQ79" s="468">
        <f t="shared" si="88"/>
        <v>597411.83999999997</v>
      </c>
      <c r="AR79" s="468"/>
      <c r="AS79" s="468">
        <f t="shared" si="89"/>
        <v>597411.83999999997</v>
      </c>
      <c r="AT79" s="468"/>
      <c r="AU79" s="468">
        <f t="shared" si="90"/>
        <v>597411.83999999997</v>
      </c>
      <c r="AV79" s="468"/>
      <c r="AW79" s="126">
        <f>703102.73</f>
        <v>703102.73</v>
      </c>
      <c r="AX79" s="126">
        <v>-16895.080000000002</v>
      </c>
      <c r="AY79" s="113">
        <f t="shared" si="82"/>
        <v>686207.65</v>
      </c>
      <c r="AZ79" s="113"/>
      <c r="BA79" s="113">
        <f>AZ79+AY79</f>
        <v>686207.65</v>
      </c>
      <c r="BB79" s="113"/>
      <c r="BC79" s="113">
        <f>BB79+BA79</f>
        <v>686207.65</v>
      </c>
      <c r="BD79" s="113"/>
      <c r="BE79" s="113">
        <f t="shared" si="91"/>
        <v>686207.65</v>
      </c>
      <c r="BF79" s="113">
        <v>6039</v>
      </c>
      <c r="BG79" s="113">
        <f t="shared" si="92"/>
        <v>692246.65</v>
      </c>
      <c r="BH79" s="113"/>
      <c r="BI79" s="113">
        <v>1199018.83</v>
      </c>
      <c r="BJ79" s="113">
        <v>1255476.53</v>
      </c>
      <c r="BK79" s="113">
        <v>1255476.53</v>
      </c>
      <c r="BL79" s="113">
        <v>0</v>
      </c>
      <c r="BM79" s="113">
        <f t="shared" ref="BM79:BM100" si="93">BI79+BL79</f>
        <v>1199018.83</v>
      </c>
    </row>
    <row r="80" spans="1:96" s="123" customFormat="1" ht="15" customHeight="1">
      <c r="A80" s="90"/>
      <c r="B80" s="25">
        <v>266</v>
      </c>
      <c r="C80" s="87" t="s">
        <v>110</v>
      </c>
      <c r="D80" s="100"/>
      <c r="E80" s="100"/>
      <c r="F80" s="100"/>
      <c r="G80" s="468"/>
      <c r="H80" s="468"/>
      <c r="I80" s="468"/>
      <c r="J80" s="468"/>
      <c r="K80" s="100"/>
      <c r="L80" s="100"/>
      <c r="M80" s="100"/>
      <c r="N80" s="468"/>
      <c r="O80" s="468"/>
      <c r="P80" s="468"/>
      <c r="Q80" s="468"/>
      <c r="R80" s="468"/>
      <c r="S80" s="468"/>
      <c r="T80" s="468"/>
      <c r="U80" s="468"/>
      <c r="V80" s="468"/>
      <c r="W80" s="468"/>
      <c r="X80" s="468"/>
      <c r="Y80" s="468"/>
      <c r="Z80" s="468"/>
      <c r="AA80" s="468"/>
      <c r="AB80" s="468"/>
      <c r="AC80" s="468"/>
      <c r="AD80" s="90" t="s">
        <v>79</v>
      </c>
      <c r="AE80" s="468"/>
      <c r="AF80" s="468"/>
      <c r="AG80" s="468"/>
      <c r="AH80" s="468"/>
      <c r="AI80" s="468"/>
      <c r="AJ80" s="468"/>
      <c r="AK80" s="468"/>
      <c r="AL80" s="468"/>
      <c r="AM80" s="468"/>
      <c r="AN80" s="468"/>
      <c r="AO80" s="468"/>
      <c r="AP80" s="468"/>
      <c r="AQ80" s="468"/>
      <c r="AR80" s="468"/>
      <c r="AS80" s="468"/>
      <c r="AT80" s="468"/>
      <c r="AU80" s="468"/>
      <c r="AV80" s="468"/>
      <c r="AW80" s="126"/>
      <c r="AX80" s="126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>
        <v>25000</v>
      </c>
      <c r="BJ80" s="113">
        <v>10000</v>
      </c>
      <c r="BK80" s="113">
        <v>10000</v>
      </c>
      <c r="BL80" s="113">
        <v>0</v>
      </c>
      <c r="BM80" s="113">
        <f t="shared" si="93"/>
        <v>25000</v>
      </c>
    </row>
    <row r="81" spans="1:65" s="123" customFormat="1" ht="29.25" customHeight="1">
      <c r="A81" s="90"/>
      <c r="B81" s="25">
        <v>221</v>
      </c>
      <c r="C81" s="87" t="s">
        <v>1</v>
      </c>
      <c r="D81" s="100" t="e">
        <f>#REF!+#REF!+#REF!+#REF!</f>
        <v>#REF!</v>
      </c>
      <c r="E81" s="100" t="e">
        <f>#REF!+#REF!+#REF!+#REF!</f>
        <v>#REF!</v>
      </c>
      <c r="F81" s="100" t="e">
        <f>E81</f>
        <v>#REF!</v>
      </c>
      <c r="G81" s="92"/>
      <c r="H81" s="468" t="e">
        <f>D81+G81</f>
        <v>#REF!</v>
      </c>
      <c r="I81" s="468"/>
      <c r="J81" s="468" t="e">
        <f>#REF!+#REF!+#REF!+#REF!</f>
        <v>#REF!</v>
      </c>
      <c r="K81" s="100">
        <v>29312.167500000003</v>
      </c>
      <c r="L81" s="100"/>
      <c r="M81" s="100"/>
      <c r="N81" s="468" t="e">
        <f>J81+M81</f>
        <v>#REF!</v>
      </c>
      <c r="O81" s="468"/>
      <c r="P81" s="468" t="e">
        <f>N81+O81</f>
        <v>#REF!</v>
      </c>
      <c r="Q81" s="468"/>
      <c r="R81" s="468" t="e">
        <f>P81+Q81</f>
        <v>#REF!</v>
      </c>
      <c r="S81" s="468"/>
      <c r="T81" s="468" t="e">
        <f>R81+S81</f>
        <v>#REF!</v>
      </c>
      <c r="U81" s="468"/>
      <c r="V81" s="468" t="e">
        <f>T81+U81</f>
        <v>#REF!</v>
      </c>
      <c r="W81" s="468"/>
      <c r="X81" s="468" t="e">
        <f>V81+W81</f>
        <v>#REF!</v>
      </c>
      <c r="Y81" s="468"/>
      <c r="Z81" s="468" t="e">
        <f>X81+Y81</f>
        <v>#REF!</v>
      </c>
      <c r="AA81" s="468"/>
      <c r="AB81" s="468" t="e">
        <f>Z81+AA81</f>
        <v>#REF!</v>
      </c>
      <c r="AC81" s="468"/>
      <c r="AD81" s="90" t="s">
        <v>78</v>
      </c>
      <c r="AE81" s="468" t="e">
        <f>#REF!+#REF!+#REF!+#REF!+#REF!</f>
        <v>#REF!</v>
      </c>
      <c r="AF81" s="468"/>
      <c r="AG81" s="468" t="e">
        <f t="shared" ref="AG81:AG84" si="94">AE81+AF81</f>
        <v>#REF!</v>
      </c>
      <c r="AH81" s="468"/>
      <c r="AI81" s="468" t="e">
        <f t="shared" ref="AI81:AI84" si="95">AG81+AH81</f>
        <v>#REF!</v>
      </c>
      <c r="AJ81" s="468"/>
      <c r="AK81" s="468" t="e">
        <f t="shared" ref="AK81:AK84" si="96">AI81+AJ81</f>
        <v>#REF!</v>
      </c>
      <c r="AL81" s="468"/>
      <c r="AM81" s="468" t="e">
        <f t="shared" ref="AM81:AM84" si="97">AK81+AL81</f>
        <v>#REF!</v>
      </c>
      <c r="AN81" s="468"/>
      <c r="AO81" s="468" t="e">
        <f t="shared" ref="AO81:AO84" si="98">AM81+AN81</f>
        <v>#REF!</v>
      </c>
      <c r="AP81" s="468"/>
      <c r="AQ81" s="468" t="e">
        <f t="shared" ref="AQ81:AQ84" si="99">AO81+AP81</f>
        <v>#REF!</v>
      </c>
      <c r="AR81" s="468"/>
      <c r="AS81" s="468" t="e">
        <f t="shared" ref="AS81:AS84" si="100">AQ81+AR81</f>
        <v>#REF!</v>
      </c>
      <c r="AT81" s="468"/>
      <c r="AU81" s="468" t="e">
        <f t="shared" ref="AU81:AU84" si="101">AS81+AT81</f>
        <v>#REF!</v>
      </c>
      <c r="AV81" s="468"/>
      <c r="AW81" s="127">
        <v>46238.400000000001</v>
      </c>
      <c r="AX81" s="127"/>
      <c r="AY81" s="113">
        <f t="shared" ref="AY81:AY84" si="102">AX81+AW81</f>
        <v>46238.400000000001</v>
      </c>
      <c r="AZ81" s="113"/>
      <c r="BA81" s="113" t="e">
        <f>#REF!+#REF!+#REF!+#REF!</f>
        <v>#REF!</v>
      </c>
      <c r="BB81" s="113"/>
      <c r="BC81" s="113" t="e">
        <f>#REF!+#REF!+#REF!+#REF!</f>
        <v>#REF!</v>
      </c>
      <c r="BD81" s="113" t="e">
        <f>#REF!+#REF!+#REF!+#REF!</f>
        <v>#REF!</v>
      </c>
      <c r="BE81" s="113" t="e">
        <f>#REF!+#REF!+#REF!+#REF!</f>
        <v>#REF!</v>
      </c>
      <c r="BF81" s="113"/>
      <c r="BG81" s="113" t="e">
        <f>#REF!+#REF!+#REF!+#REF!</f>
        <v>#REF!</v>
      </c>
      <c r="BH81" s="113"/>
      <c r="BI81" s="113">
        <f>BI82+BI83</f>
        <v>41000</v>
      </c>
      <c r="BJ81" s="113">
        <f t="shared" ref="BJ81:BL81" si="103">BJ82+BJ83</f>
        <v>0</v>
      </c>
      <c r="BK81" s="113">
        <f t="shared" si="103"/>
        <v>0</v>
      </c>
      <c r="BL81" s="113">
        <f t="shared" si="103"/>
        <v>0</v>
      </c>
      <c r="BM81" s="113">
        <f t="shared" si="93"/>
        <v>41000</v>
      </c>
    </row>
    <row r="82" spans="1:65" s="123" customFormat="1" ht="15" customHeight="1">
      <c r="A82" s="90"/>
      <c r="B82" s="25"/>
      <c r="C82" s="264" t="s">
        <v>158</v>
      </c>
      <c r="D82" s="110"/>
      <c r="E82" s="110"/>
      <c r="F82" s="110"/>
      <c r="G82" s="265"/>
      <c r="H82" s="265"/>
      <c r="I82" s="265"/>
      <c r="J82" s="265"/>
      <c r="K82" s="110"/>
      <c r="L82" s="110"/>
      <c r="M82" s="110"/>
      <c r="N82" s="265"/>
      <c r="O82" s="265"/>
      <c r="P82" s="265"/>
      <c r="Q82" s="265"/>
      <c r="R82" s="265"/>
      <c r="S82" s="265"/>
      <c r="T82" s="265"/>
      <c r="U82" s="265"/>
      <c r="V82" s="265"/>
      <c r="W82" s="265"/>
      <c r="X82" s="265"/>
      <c r="Y82" s="265"/>
      <c r="Z82" s="265"/>
      <c r="AA82" s="265"/>
      <c r="AB82" s="265"/>
      <c r="AC82" s="265"/>
      <c r="AD82" s="118"/>
      <c r="AE82" s="265"/>
      <c r="AF82" s="265"/>
      <c r="AG82" s="265"/>
      <c r="AH82" s="265"/>
      <c r="AI82" s="265"/>
      <c r="AJ82" s="265"/>
      <c r="AK82" s="265"/>
      <c r="AL82" s="265"/>
      <c r="AM82" s="265"/>
      <c r="AN82" s="265"/>
      <c r="AO82" s="265"/>
      <c r="AP82" s="265"/>
      <c r="AQ82" s="265"/>
      <c r="AR82" s="265"/>
      <c r="AS82" s="265"/>
      <c r="AT82" s="265"/>
      <c r="AU82" s="265"/>
      <c r="AV82" s="265"/>
      <c r="AW82" s="266"/>
      <c r="AX82" s="266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  <c r="BI82" s="128">
        <v>17000</v>
      </c>
      <c r="BJ82" s="128"/>
      <c r="BK82" s="128"/>
      <c r="BL82" s="128">
        <v>0</v>
      </c>
      <c r="BM82" s="128">
        <f t="shared" si="93"/>
        <v>17000</v>
      </c>
    </row>
    <row r="83" spans="1:65" s="123" customFormat="1" ht="15" customHeight="1">
      <c r="A83" s="90"/>
      <c r="B83" s="25"/>
      <c r="C83" s="258" t="s">
        <v>159</v>
      </c>
      <c r="D83" s="187"/>
      <c r="E83" s="187"/>
      <c r="F83" s="187"/>
      <c r="G83" s="125"/>
      <c r="H83" s="125"/>
      <c r="I83" s="125"/>
      <c r="J83" s="125"/>
      <c r="K83" s="187"/>
      <c r="L83" s="187"/>
      <c r="M83" s="187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58"/>
      <c r="AE83" s="125"/>
      <c r="AF83" s="125"/>
      <c r="AG83" s="125"/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  <c r="BI83" s="128">
        <v>24000</v>
      </c>
      <c r="BJ83" s="128"/>
      <c r="BK83" s="128"/>
      <c r="BL83" s="128">
        <v>0</v>
      </c>
      <c r="BM83" s="128">
        <f t="shared" si="93"/>
        <v>24000</v>
      </c>
    </row>
    <row r="84" spans="1:65" s="123" customFormat="1" ht="15" customHeight="1">
      <c r="A84" s="217"/>
      <c r="B84" s="218">
        <v>223</v>
      </c>
      <c r="C84" s="219" t="s">
        <v>6</v>
      </c>
      <c r="D84" s="181" t="e">
        <f>SUM(#REF!)</f>
        <v>#REF!</v>
      </c>
      <c r="E84" s="181" t="e">
        <f>SUM(#REF!)</f>
        <v>#REF!</v>
      </c>
      <c r="F84" s="220" t="e">
        <f t="shared" ref="F84" si="104">E84</f>
        <v>#REF!</v>
      </c>
      <c r="G84" s="221"/>
      <c r="H84" s="181" t="e">
        <f t="shared" ref="H84" si="105">D84+G84</f>
        <v>#REF!</v>
      </c>
      <c r="I84" s="181"/>
      <c r="J84" s="181" t="e">
        <f>#REF!+#REF!+#REF!+#REF!+#REF!</f>
        <v>#REF!</v>
      </c>
      <c r="K84" s="181">
        <v>541263.06568499992</v>
      </c>
      <c r="L84" s="181"/>
      <c r="M84" s="181"/>
      <c r="N84" s="181" t="e">
        <f t="shared" ref="N84" si="106">J84+M84</f>
        <v>#REF!</v>
      </c>
      <c r="O84" s="181"/>
      <c r="P84" s="181" t="e">
        <f t="shared" ref="P84" si="107">N84+O84</f>
        <v>#REF!</v>
      </c>
      <c r="Q84" s="181"/>
      <c r="R84" s="181" t="e">
        <f t="shared" ref="R84" si="108">P84+Q84</f>
        <v>#REF!</v>
      </c>
      <c r="S84" s="181"/>
      <c r="T84" s="181" t="e">
        <f t="shared" ref="T84" si="109">R84+S84</f>
        <v>#REF!</v>
      </c>
      <c r="U84" s="181"/>
      <c r="V84" s="181" t="e">
        <f t="shared" ref="V84" si="110">T84+U84</f>
        <v>#REF!</v>
      </c>
      <c r="W84" s="181"/>
      <c r="X84" s="181" t="e">
        <f t="shared" ref="X84" si="111">V84+W84</f>
        <v>#REF!</v>
      </c>
      <c r="Y84" s="181"/>
      <c r="Z84" s="181" t="e">
        <f t="shared" ref="Z84" si="112">X84+Y84</f>
        <v>#REF!</v>
      </c>
      <c r="AA84" s="181"/>
      <c r="AB84" s="181" t="e">
        <f t="shared" ref="AB84" si="113">Z84+AA84</f>
        <v>#REF!</v>
      </c>
      <c r="AC84" s="181"/>
      <c r="AD84" s="217"/>
      <c r="AE84" s="181" t="e">
        <f>SUM(#REF!)</f>
        <v>#REF!</v>
      </c>
      <c r="AF84" s="181"/>
      <c r="AG84" s="181" t="e">
        <f t="shared" si="94"/>
        <v>#REF!</v>
      </c>
      <c r="AH84" s="181"/>
      <c r="AI84" s="181" t="e">
        <f t="shared" si="95"/>
        <v>#REF!</v>
      </c>
      <c r="AJ84" s="181"/>
      <c r="AK84" s="181" t="e">
        <f t="shared" si="96"/>
        <v>#REF!</v>
      </c>
      <c r="AL84" s="181"/>
      <c r="AM84" s="181" t="e">
        <f t="shared" si="97"/>
        <v>#REF!</v>
      </c>
      <c r="AN84" s="181"/>
      <c r="AO84" s="181" t="e">
        <f t="shared" si="98"/>
        <v>#REF!</v>
      </c>
      <c r="AP84" s="181"/>
      <c r="AQ84" s="181" t="e">
        <f t="shared" si="99"/>
        <v>#REF!</v>
      </c>
      <c r="AR84" s="181"/>
      <c r="AS84" s="181" t="e">
        <f t="shared" si="100"/>
        <v>#REF!</v>
      </c>
      <c r="AT84" s="181" t="e">
        <f>#REF!</f>
        <v>#REF!</v>
      </c>
      <c r="AU84" s="181" t="e">
        <f t="shared" si="101"/>
        <v>#REF!</v>
      </c>
      <c r="AV84" s="181"/>
      <c r="AW84" s="181" t="e">
        <f>SUM(#REF!)</f>
        <v>#REF!</v>
      </c>
      <c r="AX84" s="181"/>
      <c r="AY84" s="181" t="e">
        <f t="shared" si="102"/>
        <v>#REF!</v>
      </c>
      <c r="AZ84" s="181">
        <v>-45538</v>
      </c>
      <c r="BA84" s="181" t="e">
        <f>#REF!+#REF!+#REF!+#REF!</f>
        <v>#REF!</v>
      </c>
      <c r="BB84" s="181"/>
      <c r="BC84" s="181" t="e">
        <f>#REF!+#REF!+#REF!+#REF!</f>
        <v>#REF!</v>
      </c>
      <c r="BD84" s="181" t="e">
        <f>#REF!+#REF!+#REF!+#REF!</f>
        <v>#REF!</v>
      </c>
      <c r="BE84" s="181" t="e">
        <f>#REF!+#REF!+#REF!+#REF!</f>
        <v>#REF!</v>
      </c>
      <c r="BF84" s="181"/>
      <c r="BG84" s="181" t="e">
        <f>#REF!+#REF!+#REF!+#REF!</f>
        <v>#REF!</v>
      </c>
      <c r="BH84" s="181"/>
      <c r="BI84" s="181">
        <f>BI89+BI85</f>
        <v>367120.24</v>
      </c>
      <c r="BJ84" s="181">
        <f>BJ89+BJ85</f>
        <v>0</v>
      </c>
      <c r="BK84" s="181">
        <f>BK89+BK85</f>
        <v>0</v>
      </c>
      <c r="BL84" s="181">
        <f>BL89+BL85</f>
        <v>0</v>
      </c>
      <c r="BM84" s="113">
        <f t="shared" si="93"/>
        <v>367120.24</v>
      </c>
    </row>
    <row r="85" spans="1:65" s="123" customFormat="1" ht="15" customHeight="1">
      <c r="A85" s="248"/>
      <c r="B85" s="249"/>
      <c r="C85" s="267" t="s">
        <v>6</v>
      </c>
      <c r="D85" s="263"/>
      <c r="E85" s="263"/>
      <c r="F85" s="268"/>
      <c r="G85" s="263"/>
      <c r="H85" s="263"/>
      <c r="I85" s="263"/>
      <c r="J85" s="263"/>
      <c r="K85" s="263"/>
      <c r="L85" s="263"/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17" t="s">
        <v>78</v>
      </c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263"/>
      <c r="AQ85" s="263"/>
      <c r="AR85" s="263"/>
      <c r="AS85" s="263"/>
      <c r="AT85" s="263"/>
      <c r="AU85" s="263"/>
      <c r="AV85" s="263"/>
      <c r="AW85" s="263"/>
      <c r="AX85" s="263"/>
      <c r="AY85" s="263"/>
      <c r="AZ85" s="263"/>
      <c r="BA85" s="263"/>
      <c r="BB85" s="263"/>
      <c r="BC85" s="263"/>
      <c r="BD85" s="263"/>
      <c r="BE85" s="263"/>
      <c r="BF85" s="263"/>
      <c r="BG85" s="263"/>
      <c r="BH85" s="263"/>
      <c r="BI85" s="181">
        <f>BI86+BI87+BI88</f>
        <v>30217.93</v>
      </c>
      <c r="BJ85" s="181">
        <f t="shared" ref="BJ85:BL85" si="114">BJ86+BJ87+BJ88</f>
        <v>0</v>
      </c>
      <c r="BK85" s="181">
        <f t="shared" si="114"/>
        <v>0</v>
      </c>
      <c r="BL85" s="181">
        <f t="shared" si="114"/>
        <v>0</v>
      </c>
      <c r="BM85" s="113">
        <f t="shared" si="93"/>
        <v>30217.93</v>
      </c>
    </row>
    <row r="86" spans="1:65" s="123" customFormat="1" ht="15" customHeight="1">
      <c r="A86" s="248"/>
      <c r="B86" s="249"/>
      <c r="C86" s="259" t="s">
        <v>238</v>
      </c>
      <c r="D86" s="260"/>
      <c r="E86" s="260"/>
      <c r="F86" s="261"/>
      <c r="G86" s="260"/>
      <c r="H86" s="260"/>
      <c r="I86" s="260"/>
      <c r="J86" s="260"/>
      <c r="K86" s="260"/>
      <c r="L86" s="260"/>
      <c r="M86" s="260"/>
      <c r="N86" s="260"/>
      <c r="O86" s="260"/>
      <c r="P86" s="260"/>
      <c r="Q86" s="260"/>
      <c r="R86" s="260"/>
      <c r="S86" s="260"/>
      <c r="T86" s="260"/>
      <c r="U86" s="260"/>
      <c r="V86" s="260"/>
      <c r="W86" s="260"/>
      <c r="X86" s="260"/>
      <c r="Y86" s="260"/>
      <c r="Z86" s="260"/>
      <c r="AA86" s="260"/>
      <c r="AB86" s="260"/>
      <c r="AC86" s="260"/>
      <c r="AD86" s="262"/>
      <c r="AE86" s="260"/>
      <c r="AF86" s="260"/>
      <c r="AG86" s="260"/>
      <c r="AH86" s="260"/>
      <c r="AI86" s="260"/>
      <c r="AJ86" s="260"/>
      <c r="AK86" s="260"/>
      <c r="AL86" s="260"/>
      <c r="AM86" s="260"/>
      <c r="AN86" s="260"/>
      <c r="AO86" s="260"/>
      <c r="AP86" s="260"/>
      <c r="AQ86" s="260"/>
      <c r="AR86" s="260"/>
      <c r="AS86" s="260"/>
      <c r="AT86" s="260"/>
      <c r="AU86" s="260"/>
      <c r="AV86" s="260"/>
      <c r="AW86" s="260"/>
      <c r="AX86" s="260"/>
      <c r="AY86" s="260"/>
      <c r="AZ86" s="260"/>
      <c r="BA86" s="260"/>
      <c r="BB86" s="260"/>
      <c r="BC86" s="260"/>
      <c r="BD86" s="260"/>
      <c r="BE86" s="260"/>
      <c r="BF86" s="260"/>
      <c r="BG86" s="260"/>
      <c r="BH86" s="260"/>
      <c r="BI86" s="221">
        <v>5000</v>
      </c>
      <c r="BJ86" s="221"/>
      <c r="BK86" s="221"/>
      <c r="BL86" s="221">
        <v>0</v>
      </c>
      <c r="BM86" s="128">
        <f t="shared" si="93"/>
        <v>5000</v>
      </c>
    </row>
    <row r="87" spans="1:65" s="123" customFormat="1" ht="15" customHeight="1">
      <c r="A87" s="248"/>
      <c r="B87" s="249"/>
      <c r="C87" s="259" t="s">
        <v>228</v>
      </c>
      <c r="D87" s="260"/>
      <c r="E87" s="260"/>
      <c r="F87" s="261"/>
      <c r="G87" s="260"/>
      <c r="H87" s="260"/>
      <c r="I87" s="260"/>
      <c r="J87" s="260"/>
      <c r="K87" s="260"/>
      <c r="L87" s="260"/>
      <c r="M87" s="260"/>
      <c r="N87" s="260"/>
      <c r="O87" s="260"/>
      <c r="P87" s="260"/>
      <c r="Q87" s="260"/>
      <c r="R87" s="260"/>
      <c r="S87" s="260"/>
      <c r="T87" s="260"/>
      <c r="U87" s="260"/>
      <c r="V87" s="260"/>
      <c r="W87" s="260"/>
      <c r="X87" s="260"/>
      <c r="Y87" s="260"/>
      <c r="Z87" s="260"/>
      <c r="AA87" s="260"/>
      <c r="AB87" s="260"/>
      <c r="AC87" s="260"/>
      <c r="AD87" s="262"/>
      <c r="AE87" s="260"/>
      <c r="AF87" s="260"/>
      <c r="AG87" s="260"/>
      <c r="AH87" s="260"/>
      <c r="AI87" s="260"/>
      <c r="AJ87" s="260"/>
      <c r="AK87" s="260"/>
      <c r="AL87" s="260"/>
      <c r="AM87" s="260"/>
      <c r="AN87" s="260"/>
      <c r="AO87" s="260"/>
      <c r="AP87" s="260"/>
      <c r="AQ87" s="260"/>
      <c r="AR87" s="260"/>
      <c r="AS87" s="260"/>
      <c r="AT87" s="260"/>
      <c r="AU87" s="260"/>
      <c r="AV87" s="260"/>
      <c r="AW87" s="260"/>
      <c r="AX87" s="260"/>
      <c r="AY87" s="260"/>
      <c r="AZ87" s="260"/>
      <c r="BA87" s="260"/>
      <c r="BB87" s="260"/>
      <c r="BC87" s="260"/>
      <c r="BD87" s="260"/>
      <c r="BE87" s="260"/>
      <c r="BF87" s="260"/>
      <c r="BG87" s="260"/>
      <c r="BH87" s="260"/>
      <c r="BI87" s="221">
        <v>15000</v>
      </c>
      <c r="BJ87" s="221"/>
      <c r="BK87" s="221"/>
      <c r="BL87" s="221">
        <v>0</v>
      </c>
      <c r="BM87" s="128">
        <f t="shared" si="93"/>
        <v>15000</v>
      </c>
    </row>
    <row r="88" spans="1:65" s="123" customFormat="1" ht="16.5" customHeight="1">
      <c r="A88" s="248"/>
      <c r="B88" s="249"/>
      <c r="C88" s="259" t="s">
        <v>161</v>
      </c>
      <c r="D88" s="260"/>
      <c r="E88" s="260"/>
      <c r="F88" s="261"/>
      <c r="G88" s="260"/>
      <c r="H88" s="260"/>
      <c r="I88" s="260"/>
      <c r="J88" s="260"/>
      <c r="K88" s="260"/>
      <c r="L88" s="260"/>
      <c r="M88" s="260"/>
      <c r="N88" s="260"/>
      <c r="O88" s="260"/>
      <c r="P88" s="260"/>
      <c r="Q88" s="260"/>
      <c r="R88" s="260"/>
      <c r="S88" s="260"/>
      <c r="T88" s="260"/>
      <c r="U88" s="260"/>
      <c r="V88" s="260"/>
      <c r="W88" s="260"/>
      <c r="X88" s="260"/>
      <c r="Y88" s="260"/>
      <c r="Z88" s="260"/>
      <c r="AA88" s="260"/>
      <c r="AB88" s="260"/>
      <c r="AC88" s="260"/>
      <c r="AD88" s="262"/>
      <c r="AE88" s="260"/>
      <c r="AF88" s="260"/>
      <c r="AG88" s="260"/>
      <c r="AH88" s="260"/>
      <c r="AI88" s="260"/>
      <c r="AJ88" s="260"/>
      <c r="AK88" s="260"/>
      <c r="AL88" s="260"/>
      <c r="AM88" s="260"/>
      <c r="AN88" s="260"/>
      <c r="AO88" s="260"/>
      <c r="AP88" s="260"/>
      <c r="AQ88" s="260"/>
      <c r="AR88" s="260"/>
      <c r="AS88" s="260"/>
      <c r="AT88" s="260"/>
      <c r="AU88" s="260"/>
      <c r="AV88" s="260"/>
      <c r="AW88" s="260"/>
      <c r="AX88" s="260"/>
      <c r="AY88" s="260"/>
      <c r="AZ88" s="260"/>
      <c r="BA88" s="260"/>
      <c r="BB88" s="260"/>
      <c r="BC88" s="260"/>
      <c r="BD88" s="260"/>
      <c r="BE88" s="260"/>
      <c r="BF88" s="260"/>
      <c r="BG88" s="260"/>
      <c r="BH88" s="260"/>
      <c r="BI88" s="221">
        <v>10217.93</v>
      </c>
      <c r="BJ88" s="221"/>
      <c r="BK88" s="221"/>
      <c r="BL88" s="221">
        <v>0</v>
      </c>
      <c r="BM88" s="128">
        <f t="shared" si="93"/>
        <v>10217.93</v>
      </c>
    </row>
    <row r="89" spans="1:65" s="123" customFormat="1" ht="28.5" customHeight="1">
      <c r="A89" s="248"/>
      <c r="B89" s="249"/>
      <c r="C89" s="267" t="s">
        <v>6</v>
      </c>
      <c r="D89" s="263"/>
      <c r="E89" s="263"/>
      <c r="F89" s="268"/>
      <c r="G89" s="263"/>
      <c r="H89" s="263"/>
      <c r="I89" s="263"/>
      <c r="J89" s="263"/>
      <c r="K89" s="263"/>
      <c r="L89" s="263"/>
      <c r="M89" s="263"/>
      <c r="N89" s="263"/>
      <c r="O89" s="263"/>
      <c r="P89" s="263"/>
      <c r="Q89" s="263"/>
      <c r="R89" s="263"/>
      <c r="S89" s="263"/>
      <c r="T89" s="263"/>
      <c r="U89" s="263"/>
      <c r="V89" s="263"/>
      <c r="W89" s="263"/>
      <c r="X89" s="263"/>
      <c r="Y89" s="263"/>
      <c r="Z89" s="263"/>
      <c r="AA89" s="263"/>
      <c r="AB89" s="263"/>
      <c r="AC89" s="263"/>
      <c r="AD89" s="217" t="s">
        <v>129</v>
      </c>
      <c r="AE89" s="263"/>
      <c r="AF89" s="263"/>
      <c r="AG89" s="263"/>
      <c r="AH89" s="263"/>
      <c r="AI89" s="263"/>
      <c r="AJ89" s="263"/>
      <c r="AK89" s="263"/>
      <c r="AL89" s="263"/>
      <c r="AM89" s="263"/>
      <c r="AN89" s="263"/>
      <c r="AO89" s="263"/>
      <c r="AP89" s="263"/>
      <c r="AQ89" s="263"/>
      <c r="AR89" s="263"/>
      <c r="AS89" s="263"/>
      <c r="AT89" s="263"/>
      <c r="AU89" s="263"/>
      <c r="AV89" s="263"/>
      <c r="AW89" s="263"/>
      <c r="AX89" s="263"/>
      <c r="AY89" s="263"/>
      <c r="AZ89" s="263"/>
      <c r="BA89" s="263"/>
      <c r="BB89" s="263"/>
      <c r="BC89" s="263"/>
      <c r="BD89" s="263"/>
      <c r="BE89" s="263"/>
      <c r="BF89" s="263"/>
      <c r="BG89" s="263"/>
      <c r="BH89" s="263"/>
      <c r="BI89" s="181">
        <f>BI90+BI92+BI91</f>
        <v>336902.31</v>
      </c>
      <c r="BJ89" s="181">
        <f t="shared" ref="BJ89:BL89" si="115">BJ90+BJ92+BJ91</f>
        <v>0</v>
      </c>
      <c r="BK89" s="181">
        <f t="shared" si="115"/>
        <v>0</v>
      </c>
      <c r="BL89" s="181">
        <f t="shared" si="115"/>
        <v>0</v>
      </c>
      <c r="BM89" s="113">
        <f t="shared" si="93"/>
        <v>336902.31</v>
      </c>
    </row>
    <row r="90" spans="1:65" s="123" customFormat="1" ht="28.5" customHeight="1">
      <c r="A90" s="248"/>
      <c r="B90" s="249"/>
      <c r="C90" s="259" t="s">
        <v>162</v>
      </c>
      <c r="D90" s="260"/>
      <c r="E90" s="260"/>
      <c r="F90" s="261"/>
      <c r="G90" s="260"/>
      <c r="H90" s="260"/>
      <c r="I90" s="260"/>
      <c r="J90" s="260"/>
      <c r="K90" s="260"/>
      <c r="L90" s="260"/>
      <c r="M90" s="260"/>
      <c r="N90" s="260"/>
      <c r="O90" s="260"/>
      <c r="P90" s="260"/>
      <c r="Q90" s="260"/>
      <c r="R90" s="260"/>
      <c r="S90" s="260"/>
      <c r="T90" s="260"/>
      <c r="U90" s="260"/>
      <c r="V90" s="260"/>
      <c r="W90" s="260"/>
      <c r="X90" s="260"/>
      <c r="Y90" s="260"/>
      <c r="Z90" s="260"/>
      <c r="AA90" s="260"/>
      <c r="AB90" s="260"/>
      <c r="AC90" s="260"/>
      <c r="AD90" s="262"/>
      <c r="AE90" s="260"/>
      <c r="AF90" s="260"/>
      <c r="AG90" s="260"/>
      <c r="AH90" s="260"/>
      <c r="AI90" s="260"/>
      <c r="AJ90" s="260"/>
      <c r="AK90" s="260"/>
      <c r="AL90" s="260"/>
      <c r="AM90" s="260"/>
      <c r="AN90" s="260"/>
      <c r="AO90" s="260"/>
      <c r="AP90" s="260"/>
      <c r="AQ90" s="260"/>
      <c r="AR90" s="260"/>
      <c r="AS90" s="260"/>
      <c r="AT90" s="260"/>
      <c r="AU90" s="260"/>
      <c r="AV90" s="260"/>
      <c r="AW90" s="260"/>
      <c r="AX90" s="260"/>
      <c r="AY90" s="260"/>
      <c r="AZ90" s="260"/>
      <c r="BA90" s="260"/>
      <c r="BB90" s="260"/>
      <c r="BC90" s="260"/>
      <c r="BD90" s="260"/>
      <c r="BE90" s="260"/>
      <c r="BF90" s="260"/>
      <c r="BG90" s="260"/>
      <c r="BH90" s="260"/>
      <c r="BI90" s="221">
        <v>256168.8</v>
      </c>
      <c r="BJ90" s="221"/>
      <c r="BK90" s="221"/>
      <c r="BL90" s="221">
        <v>0</v>
      </c>
      <c r="BM90" s="128">
        <f t="shared" si="93"/>
        <v>256168.8</v>
      </c>
    </row>
    <row r="91" spans="1:65" s="123" customFormat="1" ht="18.75" customHeight="1">
      <c r="A91" s="248"/>
      <c r="B91" s="249"/>
      <c r="C91" s="259" t="s">
        <v>160</v>
      </c>
      <c r="D91" s="260"/>
      <c r="E91" s="260"/>
      <c r="F91" s="261"/>
      <c r="G91" s="260"/>
      <c r="H91" s="260"/>
      <c r="I91" s="260"/>
      <c r="J91" s="260"/>
      <c r="K91" s="260"/>
      <c r="L91" s="260"/>
      <c r="M91" s="260"/>
      <c r="N91" s="260"/>
      <c r="O91" s="260"/>
      <c r="P91" s="260"/>
      <c r="Q91" s="260"/>
      <c r="R91" s="260"/>
      <c r="S91" s="260"/>
      <c r="T91" s="260"/>
      <c r="U91" s="260"/>
      <c r="V91" s="260"/>
      <c r="W91" s="260"/>
      <c r="X91" s="260"/>
      <c r="Y91" s="260"/>
      <c r="Z91" s="260"/>
      <c r="AA91" s="260"/>
      <c r="AB91" s="260"/>
      <c r="AC91" s="260"/>
      <c r="AD91" s="262"/>
      <c r="AE91" s="260"/>
      <c r="AF91" s="260"/>
      <c r="AG91" s="260"/>
      <c r="AH91" s="260"/>
      <c r="AI91" s="260"/>
      <c r="AJ91" s="260"/>
      <c r="AK91" s="260"/>
      <c r="AL91" s="260"/>
      <c r="AM91" s="260"/>
      <c r="AN91" s="260"/>
      <c r="AO91" s="260"/>
      <c r="AP91" s="260"/>
      <c r="AQ91" s="260"/>
      <c r="AR91" s="260"/>
      <c r="AS91" s="260"/>
      <c r="AT91" s="260"/>
      <c r="AU91" s="260"/>
      <c r="AV91" s="260"/>
      <c r="AW91" s="260"/>
      <c r="AX91" s="260"/>
      <c r="AY91" s="260"/>
      <c r="AZ91" s="260"/>
      <c r="BA91" s="260"/>
      <c r="BB91" s="260"/>
      <c r="BC91" s="260"/>
      <c r="BD91" s="260"/>
      <c r="BE91" s="260"/>
      <c r="BF91" s="260"/>
      <c r="BG91" s="260"/>
      <c r="BH91" s="260"/>
      <c r="BI91" s="221">
        <v>733.51</v>
      </c>
      <c r="BJ91" s="221"/>
      <c r="BK91" s="221"/>
      <c r="BL91" s="221">
        <v>0</v>
      </c>
      <c r="BM91" s="128">
        <f t="shared" si="93"/>
        <v>733.51</v>
      </c>
    </row>
    <row r="92" spans="1:65" s="123" customFormat="1" ht="18.75" customHeight="1">
      <c r="A92" s="248"/>
      <c r="B92" s="249"/>
      <c r="C92" s="259" t="s">
        <v>163</v>
      </c>
      <c r="D92" s="260"/>
      <c r="E92" s="260"/>
      <c r="F92" s="261"/>
      <c r="G92" s="260"/>
      <c r="H92" s="260"/>
      <c r="I92" s="260"/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2"/>
      <c r="AE92" s="260"/>
      <c r="AF92" s="260"/>
      <c r="AG92" s="260"/>
      <c r="AH92" s="260"/>
      <c r="AI92" s="260"/>
      <c r="AJ92" s="260"/>
      <c r="AK92" s="260"/>
      <c r="AL92" s="260"/>
      <c r="AM92" s="260"/>
      <c r="AN92" s="260"/>
      <c r="AO92" s="260"/>
      <c r="AP92" s="260"/>
      <c r="AQ92" s="260"/>
      <c r="AR92" s="260"/>
      <c r="AS92" s="260"/>
      <c r="AT92" s="260"/>
      <c r="AU92" s="260"/>
      <c r="AV92" s="260"/>
      <c r="AW92" s="260"/>
      <c r="AX92" s="260"/>
      <c r="AY92" s="260"/>
      <c r="AZ92" s="260"/>
      <c r="BA92" s="260"/>
      <c r="BB92" s="260"/>
      <c r="BC92" s="260"/>
      <c r="BD92" s="260"/>
      <c r="BE92" s="260"/>
      <c r="BF92" s="260"/>
      <c r="BG92" s="260"/>
      <c r="BH92" s="260"/>
      <c r="BI92" s="221">
        <v>80000</v>
      </c>
      <c r="BJ92" s="221"/>
      <c r="BK92" s="221"/>
      <c r="BL92" s="221">
        <v>0</v>
      </c>
      <c r="BM92" s="128">
        <f t="shared" si="93"/>
        <v>80000</v>
      </c>
    </row>
    <row r="93" spans="1:65" s="123" customFormat="1" ht="18.75" customHeight="1">
      <c r="A93" s="177"/>
      <c r="B93" s="129">
        <v>225</v>
      </c>
      <c r="C93" s="152" t="s">
        <v>7</v>
      </c>
      <c r="D93" s="176" t="e">
        <f>#REF!+#REF!+#REF!</f>
        <v>#REF!</v>
      </c>
      <c r="E93" s="176" t="e">
        <f>#REF!+#REF!+#REF!</f>
        <v>#REF!</v>
      </c>
      <c r="F93" s="176" t="e">
        <f t="shared" ref="F93" si="116">E93</f>
        <v>#REF!</v>
      </c>
      <c r="G93" s="128"/>
      <c r="H93" s="113" t="e">
        <f t="shared" ref="H93" si="117">D93+G93</f>
        <v>#REF!</v>
      </c>
      <c r="I93" s="113"/>
      <c r="J93" s="113" t="e">
        <f>#REF!+#REF!+#REF!</f>
        <v>#REF!</v>
      </c>
      <c r="K93" s="176">
        <v>23961</v>
      </c>
      <c r="L93" s="176"/>
      <c r="M93" s="176"/>
      <c r="N93" s="113" t="e">
        <f t="shared" ref="N93" si="118">J93+M93</f>
        <v>#REF!</v>
      </c>
      <c r="O93" s="113"/>
      <c r="P93" s="113" t="e">
        <f t="shared" ref="P93" si="119">N93+O93</f>
        <v>#REF!</v>
      </c>
      <c r="Q93" s="113"/>
      <c r="R93" s="113" t="e">
        <f t="shared" ref="R93" si="120">P93+Q93</f>
        <v>#REF!</v>
      </c>
      <c r="S93" s="113"/>
      <c r="T93" s="113" t="e">
        <f t="shared" ref="T93" si="121">R93+S93</f>
        <v>#REF!</v>
      </c>
      <c r="U93" s="113"/>
      <c r="V93" s="113" t="e">
        <f t="shared" ref="V93" si="122">T93+U93</f>
        <v>#REF!</v>
      </c>
      <c r="W93" s="113"/>
      <c r="X93" s="113" t="e">
        <f t="shared" ref="X93" si="123">V93+W93</f>
        <v>#REF!</v>
      </c>
      <c r="Y93" s="113" t="e">
        <f>#REF!</f>
        <v>#REF!</v>
      </c>
      <c r="Z93" s="113" t="e">
        <f t="shared" ref="Z93" si="124">X93+Y93</f>
        <v>#REF!</v>
      </c>
      <c r="AA93" s="113" t="e">
        <f>#REF!</f>
        <v>#REF!</v>
      </c>
      <c r="AB93" s="113" t="e">
        <f t="shared" ref="AB93" si="125">Z93+AA93</f>
        <v>#REF!</v>
      </c>
      <c r="AC93" s="113"/>
      <c r="AD93" s="177" t="s">
        <v>78</v>
      </c>
      <c r="AE93" s="113" t="e">
        <f>#REF!+#REF!</f>
        <v>#REF!</v>
      </c>
      <c r="AF93" s="113"/>
      <c r="AG93" s="113" t="e">
        <f t="shared" ref="AG93" si="126">AE93+AF93</f>
        <v>#REF!</v>
      </c>
      <c r="AH93" s="113"/>
      <c r="AI93" s="113" t="e">
        <f t="shared" ref="AI93" si="127">AG93+AH93</f>
        <v>#REF!</v>
      </c>
      <c r="AJ93" s="113"/>
      <c r="AK93" s="113" t="e">
        <f t="shared" ref="AK93" si="128">AI93+AJ93</f>
        <v>#REF!</v>
      </c>
      <c r="AL93" s="113"/>
      <c r="AM93" s="113" t="e">
        <f t="shared" ref="AM93" si="129">AK93+AL93</f>
        <v>#REF!</v>
      </c>
      <c r="AN93" s="113"/>
      <c r="AO93" s="113" t="e">
        <f t="shared" ref="AO93" si="130">AM93+AN93</f>
        <v>#REF!</v>
      </c>
      <c r="AP93" s="113"/>
      <c r="AQ93" s="113" t="e">
        <f t="shared" ref="AQ93" si="131">AO93+AP93</f>
        <v>#REF!</v>
      </c>
      <c r="AR93" s="113"/>
      <c r="AS93" s="113" t="e">
        <f t="shared" ref="AS93" si="132">AQ93+AR93</f>
        <v>#REF!</v>
      </c>
      <c r="AT93" s="113" t="e">
        <f>#REF!</f>
        <v>#REF!</v>
      </c>
      <c r="AU93" s="113" t="e">
        <f t="shared" ref="AU93" si="133">AS93+AT93</f>
        <v>#REF!</v>
      </c>
      <c r="AV93" s="113"/>
      <c r="AW93" s="113" t="e">
        <f>SUM(#REF!)</f>
        <v>#REF!</v>
      </c>
      <c r="AX93" s="113"/>
      <c r="AY93" s="113" t="e">
        <f t="shared" ref="AY93" si="134">AX93+AW93</f>
        <v>#REF!</v>
      </c>
      <c r="AZ93" s="113"/>
      <c r="BA93" s="113" t="e">
        <f>#REF!+#REF!+#REF!+#REF!+#REF!</f>
        <v>#REF!</v>
      </c>
      <c r="BB93" s="113"/>
      <c r="BC93" s="113" t="e">
        <f>#REF!+#REF!+#REF!+#REF!+#REF!</f>
        <v>#REF!</v>
      </c>
      <c r="BD93" s="113" t="e">
        <f>#REF!+#REF!+#REF!+#REF!+#REF!</f>
        <v>#REF!</v>
      </c>
      <c r="BE93" s="113" t="e">
        <f>#REF!+#REF!+#REF!+#REF!+#REF!</f>
        <v>#REF!</v>
      </c>
      <c r="BF93" s="113"/>
      <c r="BG93" s="113" t="e">
        <f>#REF!+#REF!+#REF!+#REF!+#REF!</f>
        <v>#REF!</v>
      </c>
      <c r="BH93" s="113"/>
      <c r="BI93" s="113">
        <f>BI94+BI95+BI96+BI97</f>
        <v>62845</v>
      </c>
      <c r="BJ93" s="113">
        <f t="shared" ref="BJ93:BL93" si="135">BJ94+BJ95+BJ96+BJ97</f>
        <v>0</v>
      </c>
      <c r="BK93" s="113">
        <f t="shared" si="135"/>
        <v>0</v>
      </c>
      <c r="BL93" s="113">
        <f t="shared" si="135"/>
        <v>0</v>
      </c>
      <c r="BM93" s="113">
        <f t="shared" si="93"/>
        <v>62845</v>
      </c>
    </row>
    <row r="94" spans="1:65" s="123" customFormat="1" ht="18.75" customHeight="1">
      <c r="A94" s="177"/>
      <c r="B94" s="129"/>
      <c r="C94" s="258" t="s">
        <v>164</v>
      </c>
      <c r="D94" s="176"/>
      <c r="E94" s="176"/>
      <c r="F94" s="176"/>
      <c r="G94" s="128"/>
      <c r="H94" s="113"/>
      <c r="I94" s="113"/>
      <c r="J94" s="113"/>
      <c r="K94" s="176"/>
      <c r="L94" s="176"/>
      <c r="M94" s="176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77"/>
      <c r="AE94" s="113"/>
      <c r="AF94" s="113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  <c r="BB94" s="113"/>
      <c r="BC94" s="113"/>
      <c r="BD94" s="113"/>
      <c r="BE94" s="113"/>
      <c r="BF94" s="113"/>
      <c r="BG94" s="113"/>
      <c r="BH94" s="113"/>
      <c r="BI94" s="128">
        <v>16000</v>
      </c>
      <c r="BJ94" s="128"/>
      <c r="BK94" s="128"/>
      <c r="BL94" s="128">
        <v>0</v>
      </c>
      <c r="BM94" s="128">
        <f t="shared" si="93"/>
        <v>16000</v>
      </c>
    </row>
    <row r="95" spans="1:65" s="123" customFormat="1" ht="28.5" customHeight="1">
      <c r="A95" s="177"/>
      <c r="B95" s="129"/>
      <c r="C95" s="258" t="s">
        <v>165</v>
      </c>
      <c r="D95" s="176"/>
      <c r="E95" s="176"/>
      <c r="F95" s="176"/>
      <c r="G95" s="128"/>
      <c r="H95" s="113"/>
      <c r="I95" s="113"/>
      <c r="J95" s="113"/>
      <c r="K95" s="176"/>
      <c r="L95" s="176"/>
      <c r="M95" s="176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77"/>
      <c r="AE95" s="113"/>
      <c r="AF95" s="113"/>
      <c r="AG95" s="113"/>
      <c r="AH95" s="113"/>
      <c r="AI95" s="113"/>
      <c r="AJ95" s="113"/>
      <c r="AK95" s="113"/>
      <c r="AL95" s="113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3"/>
      <c r="AY95" s="113"/>
      <c r="AZ95" s="113"/>
      <c r="BA95" s="113"/>
      <c r="BB95" s="113"/>
      <c r="BC95" s="113"/>
      <c r="BD95" s="113"/>
      <c r="BE95" s="113"/>
      <c r="BF95" s="113"/>
      <c r="BG95" s="113"/>
      <c r="BH95" s="113"/>
      <c r="BI95" s="128">
        <v>18000</v>
      </c>
      <c r="BJ95" s="128"/>
      <c r="BK95" s="128"/>
      <c r="BL95" s="128">
        <v>0</v>
      </c>
      <c r="BM95" s="128">
        <f t="shared" si="93"/>
        <v>18000</v>
      </c>
    </row>
    <row r="96" spans="1:65" s="123" customFormat="1" ht="18.75" customHeight="1">
      <c r="A96" s="177"/>
      <c r="B96" s="129"/>
      <c r="C96" s="258" t="s">
        <v>166</v>
      </c>
      <c r="D96" s="176"/>
      <c r="E96" s="176"/>
      <c r="F96" s="176"/>
      <c r="G96" s="128"/>
      <c r="H96" s="113"/>
      <c r="I96" s="113"/>
      <c r="J96" s="113"/>
      <c r="K96" s="176"/>
      <c r="L96" s="176"/>
      <c r="M96" s="176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77"/>
      <c r="AE96" s="113"/>
      <c r="AF96" s="113"/>
      <c r="AG96" s="113"/>
      <c r="AH96" s="113"/>
      <c r="AI96" s="113"/>
      <c r="AJ96" s="113"/>
      <c r="AK96" s="113"/>
      <c r="AL96" s="113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  <c r="BB96" s="113"/>
      <c r="BC96" s="113"/>
      <c r="BD96" s="113"/>
      <c r="BE96" s="113"/>
      <c r="BF96" s="113"/>
      <c r="BG96" s="113"/>
      <c r="BH96" s="113"/>
      <c r="BI96" s="128">
        <v>18711</v>
      </c>
      <c r="BJ96" s="128"/>
      <c r="BK96" s="128"/>
      <c r="BL96" s="128">
        <v>0</v>
      </c>
      <c r="BM96" s="128">
        <f t="shared" si="93"/>
        <v>18711</v>
      </c>
    </row>
    <row r="97" spans="1:109" s="123" customFormat="1" ht="18.75" customHeight="1">
      <c r="A97" s="177"/>
      <c r="B97" s="129"/>
      <c r="C97" s="258" t="s">
        <v>167</v>
      </c>
      <c r="D97" s="176"/>
      <c r="E97" s="176"/>
      <c r="F97" s="176"/>
      <c r="G97" s="128"/>
      <c r="H97" s="113"/>
      <c r="I97" s="113"/>
      <c r="J97" s="113"/>
      <c r="K97" s="176"/>
      <c r="L97" s="176"/>
      <c r="M97" s="176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77"/>
      <c r="AE97" s="113"/>
      <c r="AF97" s="113"/>
      <c r="AG97" s="113"/>
      <c r="AH97" s="113"/>
      <c r="AI97" s="113"/>
      <c r="AJ97" s="113"/>
      <c r="AK97" s="113"/>
      <c r="AL97" s="113"/>
      <c r="AM97" s="113"/>
      <c r="AN97" s="113"/>
      <c r="AO97" s="113"/>
      <c r="AP97" s="113"/>
      <c r="AQ97" s="113"/>
      <c r="AR97" s="113"/>
      <c r="AS97" s="113"/>
      <c r="AT97" s="113"/>
      <c r="AU97" s="113"/>
      <c r="AV97" s="113"/>
      <c r="AW97" s="113"/>
      <c r="AX97" s="113"/>
      <c r="AY97" s="113"/>
      <c r="AZ97" s="113"/>
      <c r="BA97" s="113"/>
      <c r="BB97" s="113"/>
      <c r="BC97" s="113"/>
      <c r="BD97" s="113"/>
      <c r="BE97" s="113"/>
      <c r="BF97" s="113"/>
      <c r="BG97" s="113"/>
      <c r="BH97" s="113"/>
      <c r="BI97" s="128">
        <v>10134</v>
      </c>
      <c r="BJ97" s="128"/>
      <c r="BK97" s="128"/>
      <c r="BL97" s="128">
        <v>0</v>
      </c>
      <c r="BM97" s="128">
        <f t="shared" si="93"/>
        <v>10134</v>
      </c>
    </row>
    <row r="98" spans="1:109" s="123" customFormat="1" ht="18.75" customHeight="1">
      <c r="A98" s="177"/>
      <c r="B98" s="129">
        <v>226</v>
      </c>
      <c r="C98" s="117" t="s">
        <v>8</v>
      </c>
      <c r="D98" s="176"/>
      <c r="E98" s="176"/>
      <c r="F98" s="176"/>
      <c r="G98" s="128"/>
      <c r="H98" s="113"/>
      <c r="I98" s="113"/>
      <c r="J98" s="113"/>
      <c r="K98" s="176"/>
      <c r="L98" s="176"/>
      <c r="M98" s="176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3"/>
      <c r="AB98" s="113"/>
      <c r="AC98" s="113"/>
      <c r="AD98" s="177" t="s">
        <v>78</v>
      </c>
      <c r="AE98" s="113"/>
      <c r="AF98" s="113"/>
      <c r="AG98" s="113"/>
      <c r="AH98" s="113"/>
      <c r="AI98" s="113"/>
      <c r="AJ98" s="113"/>
      <c r="AK98" s="113"/>
      <c r="AL98" s="113"/>
      <c r="AM98" s="113"/>
      <c r="AN98" s="113"/>
      <c r="AO98" s="113"/>
      <c r="AP98" s="113"/>
      <c r="AQ98" s="113"/>
      <c r="AR98" s="113"/>
      <c r="AS98" s="113"/>
      <c r="AT98" s="113"/>
      <c r="AU98" s="113"/>
      <c r="AV98" s="113"/>
      <c r="AW98" s="113"/>
      <c r="AX98" s="113"/>
      <c r="AY98" s="113"/>
      <c r="AZ98" s="113"/>
      <c r="BA98" s="113"/>
      <c r="BB98" s="113"/>
      <c r="BC98" s="113"/>
      <c r="BD98" s="113"/>
      <c r="BE98" s="113"/>
      <c r="BF98" s="113"/>
      <c r="BG98" s="113"/>
      <c r="BH98" s="113"/>
      <c r="BI98" s="113">
        <f>BI99+BI100</f>
        <v>66000</v>
      </c>
      <c r="BJ98" s="113">
        <f t="shared" ref="BJ98:BL98" si="136">BJ99+BJ100</f>
        <v>0</v>
      </c>
      <c r="BK98" s="113">
        <f t="shared" si="136"/>
        <v>0</v>
      </c>
      <c r="BL98" s="113">
        <f t="shared" si="136"/>
        <v>0</v>
      </c>
      <c r="BM98" s="113">
        <f t="shared" si="93"/>
        <v>66000</v>
      </c>
    </row>
    <row r="99" spans="1:109" s="123" customFormat="1" ht="18.75" customHeight="1">
      <c r="A99" s="177"/>
      <c r="B99" s="129"/>
      <c r="C99" s="150" t="s">
        <v>274</v>
      </c>
      <c r="D99" s="187"/>
      <c r="E99" s="187"/>
      <c r="F99" s="187"/>
      <c r="G99" s="125"/>
      <c r="H99" s="125"/>
      <c r="I99" s="125"/>
      <c r="J99" s="125"/>
      <c r="K99" s="187"/>
      <c r="L99" s="187"/>
      <c r="M99" s="187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58"/>
      <c r="AE99" s="125"/>
      <c r="AF99" s="125"/>
      <c r="AG99" s="125"/>
      <c r="AH99" s="125"/>
      <c r="AI99" s="125"/>
      <c r="AJ99" s="125"/>
      <c r="AK99" s="125"/>
      <c r="AL99" s="125"/>
      <c r="AM99" s="125"/>
      <c r="AN99" s="125"/>
      <c r="AO99" s="125"/>
      <c r="AP99" s="125"/>
      <c r="AQ99" s="125"/>
      <c r="AR99" s="125"/>
      <c r="AS99" s="125"/>
      <c r="AT99" s="125"/>
      <c r="AU99" s="125"/>
      <c r="AV99" s="125"/>
      <c r="AW99" s="125"/>
      <c r="AX99" s="125"/>
      <c r="AY99" s="125"/>
      <c r="AZ99" s="125"/>
      <c r="BA99" s="125"/>
      <c r="BB99" s="125"/>
      <c r="BC99" s="125"/>
      <c r="BD99" s="125"/>
      <c r="BE99" s="125"/>
      <c r="BF99" s="125"/>
      <c r="BG99" s="125"/>
      <c r="BH99" s="125"/>
      <c r="BI99" s="128">
        <v>24000</v>
      </c>
      <c r="BJ99" s="128"/>
      <c r="BK99" s="128"/>
      <c r="BL99" s="128">
        <v>0</v>
      </c>
      <c r="BM99" s="128">
        <f t="shared" si="93"/>
        <v>24000</v>
      </c>
    </row>
    <row r="100" spans="1:109" s="123" customFormat="1" ht="18.75" customHeight="1">
      <c r="A100" s="177"/>
      <c r="B100" s="129"/>
      <c r="C100" s="150" t="s">
        <v>168</v>
      </c>
      <c r="D100" s="187"/>
      <c r="E100" s="187"/>
      <c r="F100" s="187"/>
      <c r="G100" s="125"/>
      <c r="H100" s="125"/>
      <c r="I100" s="125"/>
      <c r="J100" s="125"/>
      <c r="K100" s="187"/>
      <c r="L100" s="187"/>
      <c r="M100" s="187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58"/>
      <c r="AE100" s="125"/>
      <c r="AF100" s="125"/>
      <c r="AG100" s="125"/>
      <c r="AH100" s="125"/>
      <c r="AI100" s="125"/>
      <c r="AJ100" s="125"/>
      <c r="AK100" s="125"/>
      <c r="AL100" s="125"/>
      <c r="AM100" s="125"/>
      <c r="AN100" s="125"/>
      <c r="AO100" s="125"/>
      <c r="AP100" s="125"/>
      <c r="AQ100" s="125"/>
      <c r="AR100" s="125"/>
      <c r="AS100" s="125"/>
      <c r="AT100" s="125"/>
      <c r="AU100" s="125"/>
      <c r="AV100" s="125"/>
      <c r="AW100" s="125"/>
      <c r="AX100" s="125"/>
      <c r="AY100" s="125"/>
      <c r="AZ100" s="125"/>
      <c r="BA100" s="125"/>
      <c r="BB100" s="125"/>
      <c r="BC100" s="125"/>
      <c r="BD100" s="125"/>
      <c r="BE100" s="125"/>
      <c r="BF100" s="125"/>
      <c r="BG100" s="125"/>
      <c r="BH100" s="125"/>
      <c r="BI100" s="128">
        <v>42000</v>
      </c>
      <c r="BJ100" s="128"/>
      <c r="BK100" s="128"/>
      <c r="BL100" s="128">
        <v>0</v>
      </c>
      <c r="BM100" s="128">
        <f t="shared" si="93"/>
        <v>42000</v>
      </c>
    </row>
    <row r="101" spans="1:109" s="25" customFormat="1">
      <c r="A101" s="485" t="s">
        <v>11</v>
      </c>
      <c r="B101" s="486"/>
      <c r="C101" s="487"/>
      <c r="D101" s="130" t="e">
        <f>#REF!+D22</f>
        <v>#REF!</v>
      </c>
      <c r="E101" s="130" t="e">
        <f>#REF!+E22</f>
        <v>#REF!</v>
      </c>
      <c r="F101" s="130" t="e">
        <f>#REF!+F22</f>
        <v>#REF!</v>
      </c>
      <c r="G101" s="114">
        <f>SUM(G62:G62)</f>
        <v>0</v>
      </c>
      <c r="H101" s="114" t="e">
        <f>D101+G101</f>
        <v>#REF!</v>
      </c>
      <c r="I101" s="114"/>
      <c r="J101" s="114" t="e">
        <f>F101+I101</f>
        <v>#REF!</v>
      </c>
      <c r="K101" s="130">
        <v>20000</v>
      </c>
      <c r="L101" s="130"/>
      <c r="M101" s="130"/>
      <c r="N101" s="114" t="e">
        <f>J101+M101</f>
        <v>#REF!</v>
      </c>
      <c r="O101" s="114"/>
      <c r="P101" s="114" t="e">
        <f>N101+O101</f>
        <v>#REF!</v>
      </c>
      <c r="Q101" s="114"/>
      <c r="R101" s="114" t="e">
        <f>P101+Q101</f>
        <v>#REF!</v>
      </c>
      <c r="S101" s="114"/>
      <c r="T101" s="114" t="e">
        <f>R101+S101</f>
        <v>#REF!</v>
      </c>
      <c r="U101" s="114"/>
      <c r="V101" s="114" t="e">
        <f>T101+U101</f>
        <v>#REF!</v>
      </c>
      <c r="W101" s="114"/>
      <c r="X101" s="114" t="e">
        <f>V101+W101</f>
        <v>#REF!</v>
      </c>
      <c r="Y101" s="114"/>
      <c r="Z101" s="114" t="e">
        <f>X101+Y101</f>
        <v>#REF!</v>
      </c>
      <c r="AA101" s="114"/>
      <c r="AB101" s="114" t="e">
        <f>Z101+AA101</f>
        <v>#REF!</v>
      </c>
      <c r="AC101" s="114"/>
      <c r="AD101" s="124"/>
      <c r="AE101" s="114" t="e">
        <f>AE22+#REF!+#REF!+#REF!</f>
        <v>#REF!</v>
      </c>
      <c r="AF101" s="114" t="e">
        <f>#REF!</f>
        <v>#REF!</v>
      </c>
      <c r="AG101" s="114" t="e">
        <f>AE101+AF101</f>
        <v>#REF!</v>
      </c>
      <c r="AH101" s="114" t="e">
        <f>#REF!+#REF!+#REF!</f>
        <v>#REF!</v>
      </c>
      <c r="AI101" s="114" t="e">
        <f>AG101+AH101</f>
        <v>#REF!</v>
      </c>
      <c r="AJ101" s="114" t="e">
        <f>#REF!+#REF!+#REF!</f>
        <v>#REF!</v>
      </c>
      <c r="AK101" s="114" t="e">
        <f>AI101+AJ101</f>
        <v>#REF!</v>
      </c>
      <c r="AL101" s="114"/>
      <c r="AM101" s="114" t="e">
        <f>AK101+AL101</f>
        <v>#REF!</v>
      </c>
      <c r="AN101" s="114"/>
      <c r="AO101" s="114" t="e">
        <f>AM101+AN101</f>
        <v>#REF!</v>
      </c>
      <c r="AP101" s="114"/>
      <c r="AQ101" s="114" t="e">
        <f>AO101+AP101</f>
        <v>#REF!</v>
      </c>
      <c r="AR101" s="114" t="e">
        <f>AR22+#REF!+#REF!+#REF!+#REF!+#REF!</f>
        <v>#REF!</v>
      </c>
      <c r="AS101" s="114" t="e">
        <f>AQ101+AR101</f>
        <v>#REF!</v>
      </c>
      <c r="AT101" s="114"/>
      <c r="AU101" s="114" t="e">
        <f>AS101+AT101</f>
        <v>#REF!</v>
      </c>
      <c r="AV101" s="114"/>
      <c r="AW101" s="114" t="e">
        <f>AW22+#REF!+#REF!+#REF!+#REF!+#REF!</f>
        <v>#REF!</v>
      </c>
      <c r="AX101" s="114"/>
      <c r="AY101" s="114" t="e">
        <f t="shared" ref="AY101:AY103" si="137">AX101+AW101</f>
        <v>#REF!</v>
      </c>
      <c r="AZ101" s="114"/>
      <c r="BA101" s="114" t="e">
        <f>#REF!+#REF!+#REF!+#REF!+#REF!+BA22</f>
        <v>#REF!</v>
      </c>
      <c r="BB101" s="114"/>
      <c r="BC101" s="114" t="e">
        <f>#REF!+#REF!+#REF!+#REF!+#REF!+BC22</f>
        <v>#REF!</v>
      </c>
      <c r="BD101" s="114" t="e">
        <f>#REF!+#REF!+#REF!+#REF!+#REF!+BD22</f>
        <v>#REF!</v>
      </c>
      <c r="BE101" s="114" t="e">
        <f>#REF!+#REF!+#REF!+#REF!+#REF!+BE22</f>
        <v>#REF!</v>
      </c>
      <c r="BF101" s="114"/>
      <c r="BG101" s="114" t="e">
        <f>#REF!+#REF!+#REF!+#REF!+#REF!+BG22</f>
        <v>#REF!</v>
      </c>
      <c r="BH101" s="114">
        <v>0</v>
      </c>
      <c r="BI101" s="114">
        <f>BI78+BI79+BI80+BI81+BI84+BI93+BI98</f>
        <v>5706245.0899999999</v>
      </c>
      <c r="BJ101" s="114">
        <f t="shared" ref="BJ101:BL101" si="138">BJ78+BJ79+BJ80+BJ81+BJ84+BJ93+BJ98</f>
        <v>5412683.9299999997</v>
      </c>
      <c r="BK101" s="114">
        <f t="shared" si="138"/>
        <v>5412683.9299999997</v>
      </c>
      <c r="BL101" s="114">
        <f t="shared" si="138"/>
        <v>0</v>
      </c>
      <c r="BM101" s="114">
        <f>BI101+BL101</f>
        <v>5706245.0899999999</v>
      </c>
      <c r="BN101" s="468"/>
      <c r="BO101" s="468"/>
      <c r="BP101" s="468"/>
      <c r="BQ101" s="468"/>
      <c r="BR101" s="468"/>
      <c r="BS101" s="468"/>
      <c r="BT101" s="468"/>
      <c r="BU101" s="468"/>
      <c r="BV101" s="468"/>
      <c r="BW101" s="468"/>
      <c r="BX101" s="468"/>
      <c r="BY101" s="468"/>
      <c r="BZ101" s="468"/>
      <c r="CA101" s="468"/>
      <c r="CB101" s="468"/>
      <c r="CC101" s="468"/>
      <c r="CD101" s="468"/>
      <c r="CE101" s="468"/>
      <c r="CF101" s="468"/>
      <c r="CG101" s="468"/>
      <c r="CH101" s="468"/>
      <c r="CI101" s="468"/>
      <c r="CJ101" s="468"/>
      <c r="CK101" s="468"/>
      <c r="CL101" s="468"/>
      <c r="CM101" s="468"/>
      <c r="CN101" s="468"/>
      <c r="CO101" s="468"/>
      <c r="CP101" s="468"/>
      <c r="CQ101" s="468"/>
      <c r="CR101" s="468"/>
    </row>
    <row r="102" spans="1:109" s="215" customFormat="1" ht="12.75" customHeight="1">
      <c r="A102" s="177" t="s">
        <v>73</v>
      </c>
      <c r="B102" s="129">
        <v>211</v>
      </c>
      <c r="C102" s="153" t="s">
        <v>91</v>
      </c>
      <c r="D102" s="200"/>
      <c r="E102" s="200"/>
      <c r="F102" s="200"/>
      <c r="G102" s="128"/>
      <c r="H102" s="128"/>
      <c r="I102" s="128"/>
      <c r="J102" s="128"/>
      <c r="K102" s="200"/>
      <c r="L102" s="200"/>
      <c r="M102" s="200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77" t="s">
        <v>79</v>
      </c>
      <c r="AE102" s="113"/>
      <c r="AF102" s="113"/>
      <c r="AG102" s="113"/>
      <c r="AH102" s="113"/>
      <c r="AI102" s="113">
        <f t="shared" ref="AI102:AI103" si="139">AG102+AH102</f>
        <v>0</v>
      </c>
      <c r="AJ102" s="113">
        <v>130090.49</v>
      </c>
      <c r="AK102" s="113">
        <f t="shared" ref="AK102:AK103" si="140">AI102+AJ102</f>
        <v>130090.49</v>
      </c>
      <c r="AL102" s="113"/>
      <c r="AM102" s="113">
        <f t="shared" ref="AM102:AM103" si="141">AK102+AL102</f>
        <v>130090.49</v>
      </c>
      <c r="AN102" s="113"/>
      <c r="AO102" s="113">
        <f t="shared" ref="AO102:AO103" si="142">AM102+AN102</f>
        <v>130090.49</v>
      </c>
      <c r="AP102" s="113"/>
      <c r="AQ102" s="113">
        <f t="shared" ref="AQ102:AQ103" si="143">AO102+AP102</f>
        <v>130090.49</v>
      </c>
      <c r="AR102" s="113"/>
      <c r="AS102" s="113">
        <f t="shared" ref="AS102:AS103" si="144">AQ102+AR102</f>
        <v>130090.49</v>
      </c>
      <c r="AT102" s="113"/>
      <c r="AU102" s="113" t="s">
        <v>87</v>
      </c>
      <c r="AV102" s="113"/>
      <c r="AW102" s="113">
        <v>130090.5</v>
      </c>
      <c r="AX102" s="113"/>
      <c r="AY102" s="113">
        <f t="shared" si="137"/>
        <v>130090.5</v>
      </c>
      <c r="AZ102" s="113"/>
      <c r="BA102" s="113">
        <f>AZ102+AY102</f>
        <v>130090.5</v>
      </c>
      <c r="BB102" s="113"/>
      <c r="BC102" s="113">
        <f>BB102+BA102</f>
        <v>130090.5</v>
      </c>
      <c r="BD102" s="113"/>
      <c r="BE102" s="113">
        <f>BC102+BD102</f>
        <v>130090.5</v>
      </c>
      <c r="BF102" s="113"/>
      <c r="BG102" s="113">
        <f>BE102+BF102</f>
        <v>130090.5</v>
      </c>
      <c r="BH102" s="113"/>
      <c r="BI102" s="128">
        <v>130800</v>
      </c>
      <c r="BJ102" s="128">
        <v>130800</v>
      </c>
      <c r="BK102" s="128">
        <v>130800</v>
      </c>
      <c r="BL102" s="128">
        <v>0</v>
      </c>
      <c r="BM102" s="128">
        <f>BI102+BL102</f>
        <v>130800</v>
      </c>
      <c r="CS102" s="216"/>
      <c r="CT102" s="216"/>
      <c r="CU102" s="216"/>
      <c r="CV102" s="216"/>
      <c r="CW102" s="216"/>
      <c r="CX102" s="216"/>
      <c r="CY102" s="216"/>
      <c r="CZ102" s="216"/>
      <c r="DA102" s="216"/>
      <c r="DB102" s="216"/>
      <c r="DC102" s="216"/>
      <c r="DD102" s="216"/>
      <c r="DE102" s="216"/>
    </row>
    <row r="103" spans="1:109" s="95" customFormat="1" ht="24.75" customHeight="1">
      <c r="A103" s="90"/>
      <c r="B103" s="25">
        <v>213</v>
      </c>
      <c r="C103" s="112" t="s">
        <v>92</v>
      </c>
      <c r="D103" s="101"/>
      <c r="E103" s="101"/>
      <c r="F103" s="101"/>
      <c r="G103" s="92"/>
      <c r="H103" s="92"/>
      <c r="I103" s="92"/>
      <c r="J103" s="92"/>
      <c r="K103" s="101"/>
      <c r="L103" s="101"/>
      <c r="M103" s="101"/>
      <c r="N103" s="468"/>
      <c r="O103" s="468"/>
      <c r="P103" s="468"/>
      <c r="Q103" s="468"/>
      <c r="R103" s="468"/>
      <c r="S103" s="468"/>
      <c r="T103" s="468"/>
      <c r="U103" s="468"/>
      <c r="V103" s="468"/>
      <c r="W103" s="468"/>
      <c r="X103" s="468"/>
      <c r="Y103" s="468"/>
      <c r="Z103" s="468"/>
      <c r="AA103" s="468"/>
      <c r="AB103" s="468"/>
      <c r="AC103" s="468"/>
      <c r="AD103" s="90" t="s">
        <v>80</v>
      </c>
      <c r="AE103" s="468"/>
      <c r="AF103" s="468"/>
      <c r="AG103" s="468"/>
      <c r="AH103" s="468"/>
      <c r="AI103" s="468">
        <f t="shared" si="139"/>
        <v>0</v>
      </c>
      <c r="AJ103" s="468">
        <v>39287.33</v>
      </c>
      <c r="AK103" s="468">
        <f t="shared" si="140"/>
        <v>39287.33</v>
      </c>
      <c r="AL103" s="468"/>
      <c r="AM103" s="468">
        <f t="shared" si="141"/>
        <v>39287.33</v>
      </c>
      <c r="AN103" s="468"/>
      <c r="AO103" s="468">
        <f t="shared" si="142"/>
        <v>39287.33</v>
      </c>
      <c r="AP103" s="468"/>
      <c r="AQ103" s="468">
        <f t="shared" si="143"/>
        <v>39287.33</v>
      </c>
      <c r="AR103" s="468"/>
      <c r="AS103" s="468">
        <f t="shared" si="144"/>
        <v>39287.33</v>
      </c>
      <c r="AT103" s="468"/>
      <c r="AU103" s="468">
        <f t="shared" ref="AU103" si="145">AS103+AT103</f>
        <v>39287.33</v>
      </c>
      <c r="AV103" s="468"/>
      <c r="AW103" s="126">
        <v>39287.32</v>
      </c>
      <c r="AX103" s="126"/>
      <c r="AY103" s="113">
        <f t="shared" si="137"/>
        <v>39287.32</v>
      </c>
      <c r="AZ103" s="113"/>
      <c r="BA103" s="113">
        <f>AZ103+AY103</f>
        <v>39287.32</v>
      </c>
      <c r="BB103" s="113"/>
      <c r="BC103" s="113">
        <f>BB103+BA103</f>
        <v>39287.32</v>
      </c>
      <c r="BD103" s="113"/>
      <c r="BE103" s="113">
        <f t="shared" ref="BE103" si="146">BC103+BD103</f>
        <v>39287.32</v>
      </c>
      <c r="BF103" s="113"/>
      <c r="BG103" s="113">
        <f t="shared" ref="BG103" si="147">BE103+BF103</f>
        <v>39287.32</v>
      </c>
      <c r="BH103" s="113"/>
      <c r="BI103" s="128">
        <v>39500</v>
      </c>
      <c r="BJ103" s="128">
        <v>39502</v>
      </c>
      <c r="BK103" s="128">
        <v>39502</v>
      </c>
      <c r="BL103" s="128">
        <v>0</v>
      </c>
      <c r="BM103" s="128">
        <f>BI103+BL103</f>
        <v>39500</v>
      </c>
      <c r="CS103" s="206"/>
      <c r="CT103" s="206"/>
      <c r="CU103" s="206"/>
      <c r="CV103" s="206"/>
      <c r="CW103" s="206"/>
      <c r="CX103" s="206"/>
      <c r="CY103" s="206"/>
      <c r="CZ103" s="206"/>
      <c r="DA103" s="206"/>
      <c r="DB103" s="206"/>
      <c r="DC103" s="206"/>
      <c r="DD103" s="206"/>
      <c r="DE103" s="206"/>
    </row>
    <row r="104" spans="1:109" s="95" customFormat="1" ht="16.5" customHeight="1">
      <c r="A104" s="476" t="s">
        <v>11</v>
      </c>
      <c r="B104" s="477"/>
      <c r="C104" s="478"/>
      <c r="D104" s="100" t="e">
        <f>#REF!+#REF!</f>
        <v>#REF!</v>
      </c>
      <c r="E104" s="100" t="e">
        <f>D104</f>
        <v>#REF!</v>
      </c>
      <c r="F104" s="100" t="e">
        <f>E104</f>
        <v>#REF!</v>
      </c>
      <c r="G104" s="92"/>
      <c r="H104" s="468" t="e">
        <f>D104+G104</f>
        <v>#REF!</v>
      </c>
      <c r="I104" s="468"/>
      <c r="J104" s="468" t="e">
        <f>F104+I104</f>
        <v>#REF!</v>
      </c>
      <c r="K104" s="100">
        <v>170300</v>
      </c>
      <c r="L104" s="100"/>
      <c r="M104" s="100"/>
      <c r="N104" s="468" t="e">
        <f>J104+M104</f>
        <v>#REF!</v>
      </c>
      <c r="O104" s="468"/>
      <c r="P104" s="468" t="e">
        <f>N104+O104</f>
        <v>#REF!</v>
      </c>
      <c r="Q104" s="468"/>
      <c r="R104" s="468" t="e">
        <f>P104+Q104</f>
        <v>#REF!</v>
      </c>
      <c r="S104" s="468" t="e">
        <f>#REF!+#REF!</f>
        <v>#REF!</v>
      </c>
      <c r="T104" s="468" t="e">
        <f>#REF!+#REF!</f>
        <v>#REF!</v>
      </c>
      <c r="U104" s="468"/>
      <c r="V104" s="468" t="e">
        <f>T104+U104</f>
        <v>#REF!</v>
      </c>
      <c r="W104" s="468"/>
      <c r="X104" s="468" t="e">
        <f>V104+W104</f>
        <v>#REF!</v>
      </c>
      <c r="Y104" s="468"/>
      <c r="Z104" s="468" t="e">
        <f>X104+Y104</f>
        <v>#REF!</v>
      </c>
      <c r="AA104" s="468"/>
      <c r="AB104" s="468" t="e">
        <f>Z104+AA104</f>
        <v>#REF!</v>
      </c>
      <c r="AC104" s="468"/>
      <c r="AD104" s="124"/>
      <c r="AE104" s="468" t="e">
        <f>#REF!+#REF!</f>
        <v>#REF!</v>
      </c>
      <c r="AF104" s="468"/>
      <c r="AG104" s="468" t="e">
        <f>AE104+AF104</f>
        <v>#REF!</v>
      </c>
      <c r="AH104" s="468" t="e">
        <f>#REF!+AH102+AH103</f>
        <v>#REF!</v>
      </c>
      <c r="AI104" s="468" t="e">
        <f>AG104+AH104</f>
        <v>#REF!</v>
      </c>
      <c r="AJ104" s="468" t="e">
        <f>#REF!+AJ102+AJ103</f>
        <v>#REF!</v>
      </c>
      <c r="AK104" s="468" t="e">
        <f>AI104+AJ104</f>
        <v>#REF!</v>
      </c>
      <c r="AL104" s="468"/>
      <c r="AM104" s="468" t="e">
        <f>AK104+AL104</f>
        <v>#REF!</v>
      </c>
      <c r="AN104" s="468"/>
      <c r="AO104" s="468" t="e">
        <f>AM104+AN104</f>
        <v>#REF!</v>
      </c>
      <c r="AP104" s="468"/>
      <c r="AQ104" s="468" t="e">
        <f>AO104+AP104</f>
        <v>#REF!</v>
      </c>
      <c r="AR104" s="468"/>
      <c r="AS104" s="468" t="e">
        <f>AQ104+AR104</f>
        <v>#REF!</v>
      </c>
      <c r="AT104" s="468"/>
      <c r="AU104" s="468" t="e">
        <f>AS104+AT104</f>
        <v>#REF!</v>
      </c>
      <c r="AV104" s="468"/>
      <c r="AW104" s="468" t="e">
        <f>#REF!+AW102+AW103</f>
        <v>#REF!</v>
      </c>
      <c r="AX104" s="468" t="e">
        <f>#REF!+AX102+AX103</f>
        <v>#REF!</v>
      </c>
      <c r="AY104" s="113" t="e">
        <f>AX104+AW104</f>
        <v>#REF!</v>
      </c>
      <c r="AZ104" s="113"/>
      <c r="BA104" s="113" t="e">
        <f>BA103+BA102+#REF!</f>
        <v>#REF!</v>
      </c>
      <c r="BB104" s="113"/>
      <c r="BC104" s="113" t="e">
        <f>BC103+BC102+#REF!</f>
        <v>#REF!</v>
      </c>
      <c r="BD104" s="113" t="e">
        <f>BD103+BD102+#REF!</f>
        <v>#REF!</v>
      </c>
      <c r="BE104" s="113" t="e">
        <f>BE103+BE102+#REF!</f>
        <v>#REF!</v>
      </c>
      <c r="BF104" s="113"/>
      <c r="BG104" s="113" t="e">
        <f>BG103+BG102+#REF!</f>
        <v>#REF!</v>
      </c>
      <c r="BH104" s="113"/>
      <c r="BI104" s="114">
        <f>BI102+BI103</f>
        <v>170300</v>
      </c>
      <c r="BJ104" s="114">
        <f t="shared" ref="BJ104:BL104" si="148">BJ102+BJ103</f>
        <v>170302</v>
      </c>
      <c r="BK104" s="114">
        <f t="shared" si="148"/>
        <v>170302</v>
      </c>
      <c r="BL104" s="114">
        <f t="shared" si="148"/>
        <v>0</v>
      </c>
      <c r="BM104" s="114">
        <f>BI104+BL104</f>
        <v>170300</v>
      </c>
      <c r="CS104" s="206"/>
      <c r="CT104" s="206"/>
      <c r="CU104" s="206"/>
      <c r="CV104" s="206"/>
      <c r="CW104" s="206"/>
      <c r="CX104" s="206"/>
      <c r="CY104" s="206"/>
      <c r="CZ104" s="206"/>
      <c r="DA104" s="206"/>
      <c r="DB104" s="206"/>
      <c r="DC104" s="206"/>
      <c r="DD104" s="206"/>
      <c r="DE104" s="206"/>
    </row>
    <row r="105" spans="1:109" s="95" customFormat="1" ht="16.5" customHeight="1">
      <c r="A105" s="177" t="s">
        <v>125</v>
      </c>
      <c r="B105" s="129">
        <v>346</v>
      </c>
      <c r="C105" s="152" t="s">
        <v>133</v>
      </c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52"/>
      <c r="AD105" s="129">
        <v>244</v>
      </c>
      <c r="AE105" s="152"/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  <c r="BI105" s="238">
        <f>BI106+BI107+BI108</f>
        <v>12350</v>
      </c>
      <c r="BJ105" s="238">
        <f t="shared" ref="BJ105:BL105" si="149">BJ106+BJ107+BJ108</f>
        <v>37050</v>
      </c>
      <c r="BK105" s="238">
        <f t="shared" si="149"/>
        <v>37050</v>
      </c>
      <c r="BL105" s="238">
        <f t="shared" si="149"/>
        <v>0</v>
      </c>
      <c r="BM105" s="238">
        <f>BI105+BL105</f>
        <v>12350</v>
      </c>
      <c r="CS105" s="206"/>
      <c r="CT105" s="206"/>
      <c r="CU105" s="206"/>
      <c r="CV105" s="206"/>
      <c r="CW105" s="206"/>
      <c r="CX105" s="206"/>
      <c r="CY105" s="206"/>
      <c r="CZ105" s="206"/>
      <c r="DA105" s="206"/>
      <c r="DB105" s="206"/>
      <c r="DC105" s="206"/>
      <c r="DD105" s="206"/>
      <c r="DE105" s="206"/>
    </row>
    <row r="106" spans="1:109" s="95" customFormat="1" ht="16.5" customHeight="1">
      <c r="A106" s="177"/>
      <c r="B106" s="129"/>
      <c r="C106" s="438" t="s">
        <v>252</v>
      </c>
      <c r="D106" s="438"/>
      <c r="E106" s="438"/>
      <c r="F106" s="438"/>
      <c r="G106" s="438"/>
      <c r="H106" s="438"/>
      <c r="I106" s="438"/>
      <c r="J106" s="438"/>
      <c r="K106" s="438"/>
      <c r="L106" s="438"/>
      <c r="M106" s="438"/>
      <c r="N106" s="438"/>
      <c r="O106" s="438"/>
      <c r="P106" s="438"/>
      <c r="Q106" s="438"/>
      <c r="R106" s="438"/>
      <c r="S106" s="438"/>
      <c r="T106" s="438"/>
      <c r="U106" s="438"/>
      <c r="V106" s="438"/>
      <c r="W106" s="438"/>
      <c r="X106" s="438"/>
      <c r="Y106" s="438"/>
      <c r="Z106" s="438"/>
      <c r="AA106" s="438"/>
      <c r="AB106" s="438"/>
      <c r="AC106" s="438"/>
      <c r="AD106" s="269"/>
      <c r="AE106" s="438"/>
      <c r="AF106" s="438"/>
      <c r="AG106" s="438"/>
      <c r="AH106" s="438"/>
      <c r="AI106" s="438"/>
      <c r="AJ106" s="438"/>
      <c r="AK106" s="438"/>
      <c r="AL106" s="438"/>
      <c r="AM106" s="438"/>
      <c r="AN106" s="438"/>
      <c r="AO106" s="438"/>
      <c r="AP106" s="438"/>
      <c r="AQ106" s="438"/>
      <c r="AR106" s="438"/>
      <c r="AS106" s="438"/>
      <c r="AT106" s="438"/>
      <c r="AU106" s="438"/>
      <c r="AV106" s="438"/>
      <c r="AW106" s="438"/>
      <c r="AX106" s="438"/>
      <c r="AY106" s="438"/>
      <c r="AZ106" s="438"/>
      <c r="BA106" s="438"/>
      <c r="BB106" s="438"/>
      <c r="BC106" s="438"/>
      <c r="BD106" s="438"/>
      <c r="BE106" s="438"/>
      <c r="BF106" s="438"/>
      <c r="BG106" s="438"/>
      <c r="BH106" s="438"/>
      <c r="BI106" s="439">
        <v>4000</v>
      </c>
      <c r="BJ106" s="439">
        <v>12350</v>
      </c>
      <c r="BK106" s="439">
        <v>12350</v>
      </c>
      <c r="BL106" s="439">
        <v>0</v>
      </c>
      <c r="BM106" s="439">
        <f t="shared" ref="BM106:BM108" si="150">BI106+BL106</f>
        <v>4000</v>
      </c>
      <c r="CS106" s="206"/>
      <c r="CT106" s="206"/>
      <c r="CU106" s="206"/>
      <c r="CV106" s="206"/>
      <c r="CW106" s="206"/>
      <c r="CX106" s="206"/>
      <c r="CY106" s="206"/>
      <c r="CZ106" s="206"/>
      <c r="DA106" s="206"/>
      <c r="DB106" s="206"/>
      <c r="DC106" s="206"/>
      <c r="DD106" s="206"/>
      <c r="DE106" s="206"/>
    </row>
    <row r="107" spans="1:109" s="95" customFormat="1" ht="16.5" customHeight="1">
      <c r="A107" s="177"/>
      <c r="B107" s="129"/>
      <c r="C107" s="438" t="s">
        <v>253</v>
      </c>
      <c r="D107" s="438"/>
      <c r="E107" s="438"/>
      <c r="F107" s="438"/>
      <c r="G107" s="438"/>
      <c r="H107" s="438"/>
      <c r="I107" s="438"/>
      <c r="J107" s="438"/>
      <c r="K107" s="438"/>
      <c r="L107" s="438"/>
      <c r="M107" s="438"/>
      <c r="N107" s="438"/>
      <c r="O107" s="438"/>
      <c r="P107" s="438"/>
      <c r="Q107" s="438"/>
      <c r="R107" s="438"/>
      <c r="S107" s="438"/>
      <c r="T107" s="438"/>
      <c r="U107" s="438"/>
      <c r="V107" s="438"/>
      <c r="W107" s="438"/>
      <c r="X107" s="438"/>
      <c r="Y107" s="438"/>
      <c r="Z107" s="438"/>
      <c r="AA107" s="438"/>
      <c r="AB107" s="438"/>
      <c r="AC107" s="438"/>
      <c r="AD107" s="269"/>
      <c r="AE107" s="438"/>
      <c r="AF107" s="438"/>
      <c r="AG107" s="438"/>
      <c r="AH107" s="438"/>
      <c r="AI107" s="438"/>
      <c r="AJ107" s="438"/>
      <c r="AK107" s="438"/>
      <c r="AL107" s="438"/>
      <c r="AM107" s="438"/>
      <c r="AN107" s="438"/>
      <c r="AO107" s="438"/>
      <c r="AP107" s="438"/>
      <c r="AQ107" s="438"/>
      <c r="AR107" s="438"/>
      <c r="AS107" s="438"/>
      <c r="AT107" s="438"/>
      <c r="AU107" s="438"/>
      <c r="AV107" s="438"/>
      <c r="AW107" s="438"/>
      <c r="AX107" s="438"/>
      <c r="AY107" s="438"/>
      <c r="AZ107" s="438"/>
      <c r="BA107" s="438"/>
      <c r="BB107" s="438"/>
      <c r="BC107" s="438"/>
      <c r="BD107" s="438"/>
      <c r="BE107" s="438"/>
      <c r="BF107" s="438"/>
      <c r="BG107" s="438"/>
      <c r="BH107" s="438"/>
      <c r="BI107" s="439">
        <v>5000</v>
      </c>
      <c r="BJ107" s="439">
        <v>12350</v>
      </c>
      <c r="BK107" s="439">
        <v>12350</v>
      </c>
      <c r="BL107" s="439">
        <v>0</v>
      </c>
      <c r="BM107" s="439">
        <f t="shared" si="150"/>
        <v>5000</v>
      </c>
      <c r="CS107" s="206"/>
      <c r="CT107" s="206"/>
      <c r="CU107" s="206"/>
      <c r="CV107" s="206"/>
      <c r="CW107" s="206"/>
      <c r="CX107" s="206"/>
      <c r="CY107" s="206"/>
      <c r="CZ107" s="206"/>
      <c r="DA107" s="206"/>
      <c r="DB107" s="206"/>
      <c r="DC107" s="206"/>
      <c r="DD107" s="206"/>
      <c r="DE107" s="206"/>
    </row>
    <row r="108" spans="1:109" s="95" customFormat="1" ht="16.5" customHeight="1">
      <c r="A108" s="177"/>
      <c r="B108" s="129"/>
      <c r="C108" s="438" t="s">
        <v>254</v>
      </c>
      <c r="D108" s="438"/>
      <c r="E108" s="438"/>
      <c r="F108" s="438"/>
      <c r="G108" s="438"/>
      <c r="H108" s="438"/>
      <c r="I108" s="438"/>
      <c r="J108" s="438"/>
      <c r="K108" s="438"/>
      <c r="L108" s="438"/>
      <c r="M108" s="438"/>
      <c r="N108" s="438"/>
      <c r="O108" s="438"/>
      <c r="P108" s="438"/>
      <c r="Q108" s="438"/>
      <c r="R108" s="438"/>
      <c r="S108" s="438"/>
      <c r="T108" s="438"/>
      <c r="U108" s="438"/>
      <c r="V108" s="438"/>
      <c r="W108" s="438"/>
      <c r="X108" s="438"/>
      <c r="Y108" s="438"/>
      <c r="Z108" s="438"/>
      <c r="AA108" s="438"/>
      <c r="AB108" s="438"/>
      <c r="AC108" s="438"/>
      <c r="AD108" s="269"/>
      <c r="AE108" s="438"/>
      <c r="AF108" s="438"/>
      <c r="AG108" s="438"/>
      <c r="AH108" s="438"/>
      <c r="AI108" s="438"/>
      <c r="AJ108" s="438"/>
      <c r="AK108" s="438"/>
      <c r="AL108" s="438"/>
      <c r="AM108" s="438"/>
      <c r="AN108" s="438"/>
      <c r="AO108" s="438"/>
      <c r="AP108" s="438"/>
      <c r="AQ108" s="438"/>
      <c r="AR108" s="438"/>
      <c r="AS108" s="438"/>
      <c r="AT108" s="438"/>
      <c r="AU108" s="438"/>
      <c r="AV108" s="438"/>
      <c r="AW108" s="438"/>
      <c r="AX108" s="438"/>
      <c r="AY108" s="438"/>
      <c r="AZ108" s="438"/>
      <c r="BA108" s="438"/>
      <c r="BB108" s="438"/>
      <c r="BC108" s="438"/>
      <c r="BD108" s="438"/>
      <c r="BE108" s="438"/>
      <c r="BF108" s="438"/>
      <c r="BG108" s="438"/>
      <c r="BH108" s="438"/>
      <c r="BI108" s="439">
        <v>3350</v>
      </c>
      <c r="BJ108" s="439">
        <v>12350</v>
      </c>
      <c r="BK108" s="439">
        <v>12350</v>
      </c>
      <c r="BL108" s="439">
        <v>0</v>
      </c>
      <c r="BM108" s="439">
        <f t="shared" si="150"/>
        <v>3350</v>
      </c>
      <c r="CS108" s="206"/>
      <c r="CT108" s="206"/>
      <c r="CU108" s="206"/>
      <c r="CV108" s="206"/>
      <c r="CW108" s="206"/>
      <c r="CX108" s="206"/>
      <c r="CY108" s="206"/>
      <c r="CZ108" s="206"/>
      <c r="DA108" s="206"/>
      <c r="DB108" s="206"/>
      <c r="DC108" s="206"/>
      <c r="DD108" s="206"/>
      <c r="DE108" s="206"/>
    </row>
    <row r="109" spans="1:109" s="25" customFormat="1" ht="19.5" customHeight="1">
      <c r="A109" s="476" t="s">
        <v>11</v>
      </c>
      <c r="B109" s="477"/>
      <c r="C109" s="478"/>
      <c r="D109" s="130"/>
      <c r="E109" s="130"/>
      <c r="F109" s="130"/>
      <c r="G109" s="114"/>
      <c r="H109" s="114"/>
      <c r="I109" s="114"/>
      <c r="J109" s="114"/>
      <c r="K109" s="130"/>
      <c r="L109" s="130"/>
      <c r="M109" s="130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14"/>
      <c r="Z109" s="114"/>
      <c r="AA109" s="114"/>
      <c r="AB109" s="114"/>
      <c r="AC109" s="114"/>
      <c r="AD109" s="124"/>
      <c r="AE109" s="114"/>
      <c r="AF109" s="114"/>
      <c r="AG109" s="114"/>
      <c r="AH109" s="114"/>
      <c r="AI109" s="114"/>
      <c r="AJ109" s="114"/>
      <c r="AK109" s="114"/>
      <c r="AL109" s="114"/>
      <c r="AM109" s="114"/>
      <c r="AN109" s="114"/>
      <c r="AO109" s="114"/>
      <c r="AP109" s="114"/>
      <c r="AQ109" s="114"/>
      <c r="AR109" s="114"/>
      <c r="AS109" s="114"/>
      <c r="AT109" s="114"/>
      <c r="AU109" s="114"/>
      <c r="AV109" s="114"/>
      <c r="AW109" s="114"/>
      <c r="AX109" s="114"/>
      <c r="AY109" s="114"/>
      <c r="AZ109" s="114"/>
      <c r="BA109" s="114"/>
      <c r="BB109" s="114"/>
      <c r="BC109" s="114"/>
      <c r="BD109" s="114"/>
      <c r="BE109" s="114"/>
      <c r="BF109" s="114"/>
      <c r="BG109" s="114"/>
      <c r="BH109" s="114"/>
      <c r="BI109" s="114">
        <f>BI105</f>
        <v>12350</v>
      </c>
      <c r="BJ109" s="114">
        <f t="shared" ref="BJ109:BL109" si="151">BJ105</f>
        <v>37050</v>
      </c>
      <c r="BK109" s="114">
        <f t="shared" si="151"/>
        <v>37050</v>
      </c>
      <c r="BL109" s="114">
        <f t="shared" si="151"/>
        <v>0</v>
      </c>
      <c r="BM109" s="114">
        <f>BI109+BL109</f>
        <v>12350</v>
      </c>
      <c r="BN109" s="468"/>
      <c r="BO109" s="468"/>
      <c r="BP109" s="468"/>
      <c r="BQ109" s="468"/>
      <c r="BR109" s="468"/>
      <c r="BS109" s="468"/>
      <c r="BT109" s="468"/>
      <c r="BU109" s="468"/>
      <c r="BV109" s="468"/>
      <c r="BW109" s="468"/>
      <c r="BX109" s="468"/>
      <c r="BY109" s="468"/>
      <c r="BZ109" s="468"/>
      <c r="CA109" s="468"/>
      <c r="CB109" s="468"/>
      <c r="CC109" s="468"/>
      <c r="CD109" s="468"/>
      <c r="CE109" s="468"/>
      <c r="CF109" s="468"/>
      <c r="CG109" s="468"/>
      <c r="CH109" s="468"/>
      <c r="CI109" s="468"/>
      <c r="CJ109" s="468"/>
      <c r="CK109" s="468"/>
      <c r="CL109" s="468"/>
      <c r="CM109" s="468"/>
      <c r="CN109" s="468"/>
      <c r="CO109" s="468"/>
      <c r="CP109" s="468"/>
      <c r="CQ109" s="468"/>
      <c r="CR109" s="468"/>
    </row>
    <row r="110" spans="1:109" s="99" customFormat="1" ht="18" customHeight="1">
      <c r="A110" s="148" t="s">
        <v>69</v>
      </c>
      <c r="B110" s="169">
        <v>225</v>
      </c>
      <c r="C110" s="166" t="s">
        <v>8</v>
      </c>
      <c r="D110" s="167"/>
      <c r="E110" s="167"/>
      <c r="F110" s="167"/>
      <c r="G110" s="147"/>
      <c r="H110" s="147"/>
      <c r="I110" s="147"/>
      <c r="J110" s="147"/>
      <c r="K110" s="167"/>
      <c r="L110" s="167"/>
      <c r="M110" s="167"/>
      <c r="N110" s="147"/>
      <c r="O110" s="147"/>
      <c r="P110" s="147"/>
      <c r="Q110" s="147"/>
      <c r="R110" s="147"/>
      <c r="S110" s="147"/>
      <c r="T110" s="147"/>
      <c r="U110" s="147"/>
      <c r="V110" s="147"/>
      <c r="W110" s="147"/>
      <c r="X110" s="147"/>
      <c r="Y110" s="147"/>
      <c r="Z110" s="147"/>
      <c r="AA110" s="147"/>
      <c r="AB110" s="147"/>
      <c r="AC110" s="147"/>
      <c r="AD110" s="168" t="s">
        <v>78</v>
      </c>
      <c r="AE110" s="147"/>
      <c r="AF110" s="147"/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  <c r="BI110" s="147">
        <f>BI111</f>
        <v>210700</v>
      </c>
      <c r="BJ110" s="147">
        <f t="shared" ref="BJ110:BL110" si="152">BJ111</f>
        <v>0</v>
      </c>
      <c r="BK110" s="147">
        <f t="shared" si="152"/>
        <v>0</v>
      </c>
      <c r="BL110" s="147">
        <f t="shared" si="152"/>
        <v>0</v>
      </c>
      <c r="BM110" s="147">
        <f>BI110+BL110</f>
        <v>210700</v>
      </c>
      <c r="BN110" s="96"/>
      <c r="BO110" s="96"/>
      <c r="BP110" s="96"/>
      <c r="BQ110" s="96"/>
      <c r="BR110" s="96"/>
      <c r="BS110" s="96"/>
      <c r="BT110" s="96"/>
      <c r="BU110" s="96"/>
      <c r="BV110" s="96"/>
      <c r="BW110" s="96"/>
      <c r="BX110" s="96"/>
      <c r="BY110" s="96"/>
      <c r="BZ110" s="96"/>
      <c r="CA110" s="96"/>
      <c r="CB110" s="96"/>
      <c r="CC110" s="96"/>
      <c r="CD110" s="96"/>
      <c r="CE110" s="96"/>
      <c r="CF110" s="96"/>
      <c r="CG110" s="96"/>
      <c r="CH110" s="96"/>
      <c r="CI110" s="96"/>
      <c r="CJ110" s="96"/>
      <c r="CK110" s="96"/>
      <c r="CL110" s="96"/>
      <c r="CM110" s="96"/>
      <c r="CN110" s="96"/>
      <c r="CO110" s="96"/>
      <c r="CP110" s="96"/>
      <c r="CQ110" s="96"/>
      <c r="CR110" s="96"/>
    </row>
    <row r="111" spans="1:109" s="99" customFormat="1" ht="18" customHeight="1">
      <c r="A111" s="177" t="s">
        <v>259</v>
      </c>
      <c r="B111" s="169"/>
      <c r="C111" s="447" t="s">
        <v>255</v>
      </c>
      <c r="D111" s="448"/>
      <c r="E111" s="448"/>
      <c r="F111" s="448"/>
      <c r="G111" s="250"/>
      <c r="H111" s="250"/>
      <c r="I111" s="250"/>
      <c r="J111" s="250"/>
      <c r="K111" s="448"/>
      <c r="L111" s="448"/>
      <c r="M111" s="448"/>
      <c r="N111" s="250"/>
      <c r="O111" s="250"/>
      <c r="P111" s="250"/>
      <c r="Q111" s="250"/>
      <c r="R111" s="250"/>
      <c r="S111" s="250"/>
      <c r="T111" s="250"/>
      <c r="U111" s="250"/>
      <c r="V111" s="250"/>
      <c r="W111" s="250"/>
      <c r="X111" s="250"/>
      <c r="Y111" s="250"/>
      <c r="Z111" s="250"/>
      <c r="AA111" s="250"/>
      <c r="AB111" s="250"/>
      <c r="AC111" s="250"/>
      <c r="AD111" s="449"/>
      <c r="AE111" s="250"/>
      <c r="AF111" s="250"/>
      <c r="AG111" s="250"/>
      <c r="AH111" s="250"/>
      <c r="AI111" s="250"/>
      <c r="AJ111" s="250"/>
      <c r="AK111" s="250"/>
      <c r="AL111" s="250"/>
      <c r="AM111" s="250"/>
      <c r="AN111" s="250"/>
      <c r="AO111" s="250"/>
      <c r="AP111" s="250"/>
      <c r="AQ111" s="250"/>
      <c r="AR111" s="250"/>
      <c r="AS111" s="250"/>
      <c r="AT111" s="250"/>
      <c r="AU111" s="250"/>
      <c r="AV111" s="250"/>
      <c r="AW111" s="250"/>
      <c r="AX111" s="250"/>
      <c r="AY111" s="250"/>
      <c r="AZ111" s="250"/>
      <c r="BA111" s="250"/>
      <c r="BB111" s="250"/>
      <c r="BC111" s="250"/>
      <c r="BD111" s="250"/>
      <c r="BE111" s="250"/>
      <c r="BF111" s="250"/>
      <c r="BG111" s="250"/>
      <c r="BH111" s="250"/>
      <c r="BI111" s="250">
        <v>210700</v>
      </c>
      <c r="BJ111" s="250"/>
      <c r="BK111" s="250"/>
      <c r="BL111" s="250">
        <v>0</v>
      </c>
      <c r="BM111" s="250">
        <f t="shared" ref="BM111:BM113" si="153">BI111+BL111</f>
        <v>210700</v>
      </c>
      <c r="BN111" s="96"/>
      <c r="BO111" s="96"/>
      <c r="BP111" s="96"/>
      <c r="BQ111" s="96"/>
      <c r="BR111" s="96"/>
      <c r="BS111" s="96"/>
      <c r="BT111" s="96"/>
      <c r="BU111" s="96"/>
      <c r="BV111" s="96"/>
      <c r="BW111" s="96"/>
      <c r="BX111" s="96"/>
      <c r="BY111" s="96"/>
      <c r="BZ111" s="96"/>
      <c r="CA111" s="96"/>
      <c r="CB111" s="96"/>
      <c r="CC111" s="96"/>
      <c r="CD111" s="96"/>
      <c r="CE111" s="96"/>
      <c r="CF111" s="96"/>
      <c r="CG111" s="96"/>
      <c r="CH111" s="96"/>
      <c r="CI111" s="96"/>
      <c r="CJ111" s="96"/>
      <c r="CK111" s="96"/>
      <c r="CL111" s="96"/>
      <c r="CM111" s="96"/>
      <c r="CN111" s="96"/>
      <c r="CO111" s="96"/>
      <c r="CP111" s="96"/>
      <c r="CQ111" s="96"/>
      <c r="CR111" s="96"/>
    </row>
    <row r="112" spans="1:109" s="162" customFormat="1" ht="18" customHeight="1">
      <c r="A112" s="90"/>
      <c r="B112" s="25">
        <v>346</v>
      </c>
      <c r="C112" s="164" t="s">
        <v>9</v>
      </c>
      <c r="D112" s="160"/>
      <c r="E112" s="93"/>
      <c r="F112" s="93"/>
      <c r="G112" s="93"/>
      <c r="H112" s="97"/>
      <c r="I112" s="97"/>
      <c r="J112" s="97"/>
      <c r="K112" s="97"/>
      <c r="L112" s="51"/>
      <c r="M112" s="51"/>
      <c r="N112" s="468"/>
      <c r="O112" s="468"/>
      <c r="P112" s="468"/>
      <c r="Q112" s="468"/>
      <c r="R112" s="468"/>
      <c r="S112" s="468"/>
      <c r="T112" s="468"/>
      <c r="U112" s="468"/>
      <c r="V112" s="468"/>
      <c r="W112" s="468"/>
      <c r="X112" s="468"/>
      <c r="Y112" s="468"/>
      <c r="Z112" s="468"/>
      <c r="AA112" s="468"/>
      <c r="AB112" s="468"/>
      <c r="AC112" s="468"/>
      <c r="AD112" s="90" t="s">
        <v>78</v>
      </c>
      <c r="AE112" s="468"/>
      <c r="AF112" s="468"/>
      <c r="AG112" s="468"/>
      <c r="AH112" s="468"/>
      <c r="AI112" s="468"/>
      <c r="AJ112" s="468"/>
      <c r="AK112" s="468"/>
      <c r="AL112" s="468"/>
      <c r="AM112" s="468"/>
      <c r="AN112" s="468"/>
      <c r="AO112" s="468"/>
      <c r="AP112" s="468"/>
      <c r="AQ112" s="468"/>
      <c r="AR112" s="468"/>
      <c r="AS112" s="468"/>
      <c r="AT112" s="468"/>
      <c r="AU112" s="468"/>
      <c r="AV112" s="468"/>
      <c r="AW112" s="113"/>
      <c r="AX112" s="113"/>
      <c r="AY112" s="113"/>
      <c r="AZ112" s="113"/>
      <c r="BA112" s="113"/>
      <c r="BB112" s="113"/>
      <c r="BC112" s="113"/>
      <c r="BD112" s="113"/>
      <c r="BE112" s="113"/>
      <c r="BF112" s="113"/>
      <c r="BG112" s="113"/>
      <c r="BH112" s="113"/>
      <c r="BI112" s="113">
        <f>BI113</f>
        <v>8400</v>
      </c>
      <c r="BJ112" s="113">
        <f t="shared" ref="BJ112:BL112" si="154">BJ113</f>
        <v>0</v>
      </c>
      <c r="BK112" s="113">
        <f t="shared" si="154"/>
        <v>0</v>
      </c>
      <c r="BL112" s="113">
        <f t="shared" si="154"/>
        <v>0</v>
      </c>
      <c r="BM112" s="147">
        <f t="shared" si="153"/>
        <v>8400</v>
      </c>
      <c r="BN112" s="102"/>
      <c r="BO112" s="103"/>
      <c r="BP112" s="138"/>
      <c r="BZ112" s="138"/>
      <c r="CA112" s="138"/>
      <c r="CB112" s="138"/>
      <c r="CC112" s="138"/>
      <c r="CD112" s="138"/>
      <c r="CE112" s="138"/>
      <c r="CF112" s="138"/>
      <c r="CG112" s="138"/>
      <c r="CH112" s="138"/>
      <c r="CI112" s="138"/>
      <c r="CJ112" s="138"/>
      <c r="CK112" s="138"/>
      <c r="CL112" s="138"/>
      <c r="CM112" s="138"/>
      <c r="CN112" s="138"/>
      <c r="CO112" s="163"/>
      <c r="CP112" s="163"/>
      <c r="CQ112" s="163"/>
      <c r="CR112" s="163"/>
      <c r="CS112" s="163"/>
      <c r="CT112" s="163"/>
      <c r="CU112" s="163"/>
      <c r="CV112" s="163"/>
      <c r="CW112" s="163"/>
      <c r="CX112" s="163"/>
      <c r="CY112" s="163"/>
      <c r="CZ112" s="163"/>
      <c r="DA112" s="163"/>
      <c r="DB112" s="163"/>
      <c r="DC112" s="163"/>
      <c r="DD112" s="163"/>
      <c r="DE112" s="163"/>
    </row>
    <row r="113" spans="1:109" s="162" customFormat="1" ht="30" customHeight="1">
      <c r="A113" s="90"/>
      <c r="B113" s="25"/>
      <c r="C113" s="440" t="s">
        <v>248</v>
      </c>
      <c r="D113" s="441"/>
      <c r="E113" s="442"/>
      <c r="F113" s="442"/>
      <c r="G113" s="442"/>
      <c r="H113" s="443"/>
      <c r="I113" s="443"/>
      <c r="J113" s="443"/>
      <c r="K113" s="443"/>
      <c r="L113" s="444"/>
      <c r="M113" s="444"/>
      <c r="N113" s="445"/>
      <c r="O113" s="445"/>
      <c r="P113" s="445"/>
      <c r="Q113" s="445"/>
      <c r="R113" s="445"/>
      <c r="S113" s="445"/>
      <c r="T113" s="445"/>
      <c r="U113" s="445"/>
      <c r="V113" s="445"/>
      <c r="W113" s="445"/>
      <c r="X113" s="445"/>
      <c r="Y113" s="445"/>
      <c r="Z113" s="445"/>
      <c r="AA113" s="445"/>
      <c r="AB113" s="445"/>
      <c r="AC113" s="445"/>
      <c r="AD113" s="446"/>
      <c r="AE113" s="445"/>
      <c r="AF113" s="445"/>
      <c r="AG113" s="445"/>
      <c r="AH113" s="445"/>
      <c r="AI113" s="445"/>
      <c r="AJ113" s="445"/>
      <c r="AK113" s="445"/>
      <c r="AL113" s="445"/>
      <c r="AM113" s="445"/>
      <c r="AN113" s="445"/>
      <c r="AO113" s="445"/>
      <c r="AP113" s="445"/>
      <c r="AQ113" s="445"/>
      <c r="AR113" s="445"/>
      <c r="AS113" s="445"/>
      <c r="AT113" s="445"/>
      <c r="AU113" s="445"/>
      <c r="AV113" s="445"/>
      <c r="AW113" s="250"/>
      <c r="AX113" s="250"/>
      <c r="AY113" s="250"/>
      <c r="AZ113" s="250"/>
      <c r="BA113" s="250"/>
      <c r="BB113" s="250"/>
      <c r="BC113" s="250"/>
      <c r="BD113" s="250"/>
      <c r="BE113" s="250"/>
      <c r="BF113" s="250"/>
      <c r="BG113" s="250"/>
      <c r="BH113" s="250"/>
      <c r="BI113" s="250">
        <v>8400</v>
      </c>
      <c r="BJ113" s="250"/>
      <c r="BK113" s="250"/>
      <c r="BL113" s="250">
        <v>0</v>
      </c>
      <c r="BM113" s="250">
        <f t="shared" si="153"/>
        <v>8400</v>
      </c>
      <c r="BN113" s="102"/>
      <c r="BO113" s="103"/>
      <c r="BP113" s="138"/>
      <c r="BZ113" s="138"/>
      <c r="CA113" s="138"/>
      <c r="CB113" s="138"/>
      <c r="CC113" s="138"/>
      <c r="CD113" s="138"/>
      <c r="CE113" s="138"/>
      <c r="CF113" s="138"/>
      <c r="CG113" s="138"/>
      <c r="CH113" s="138"/>
      <c r="CI113" s="138"/>
      <c r="CJ113" s="138"/>
      <c r="CK113" s="138"/>
      <c r="CL113" s="138"/>
      <c r="CM113" s="138"/>
      <c r="CN113" s="138"/>
      <c r="CO113" s="163"/>
      <c r="CP113" s="163"/>
      <c r="CQ113" s="163"/>
      <c r="CR113" s="163"/>
      <c r="CS113" s="163"/>
      <c r="CT113" s="163"/>
      <c r="CU113" s="163"/>
      <c r="CV113" s="163"/>
      <c r="CW113" s="163"/>
      <c r="CX113" s="163"/>
      <c r="CY113" s="163"/>
      <c r="CZ113" s="163"/>
      <c r="DA113" s="163"/>
      <c r="DB113" s="163"/>
      <c r="DC113" s="163"/>
      <c r="DD113" s="163"/>
      <c r="DE113" s="163"/>
    </row>
    <row r="114" spans="1:109" s="246" customFormat="1">
      <c r="A114" s="241"/>
      <c r="B114" s="242"/>
      <c r="C114" s="243"/>
      <c r="D114" s="244"/>
      <c r="E114" s="244"/>
      <c r="F114" s="244"/>
      <c r="G114" s="146"/>
      <c r="H114" s="146"/>
      <c r="I114" s="146"/>
      <c r="J114" s="146"/>
      <c r="K114" s="244"/>
      <c r="L114" s="244"/>
      <c r="M114" s="244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245"/>
      <c r="AE114" s="146"/>
      <c r="AF114" s="146"/>
      <c r="AG114" s="146"/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  <c r="BI114" s="146">
        <f>BI110+BI112</f>
        <v>219100</v>
      </c>
      <c r="BJ114" s="146">
        <f t="shared" ref="BJ114:BL114" si="155">BJ110+BJ112</f>
        <v>0</v>
      </c>
      <c r="BK114" s="146">
        <f t="shared" si="155"/>
        <v>0</v>
      </c>
      <c r="BL114" s="146">
        <f t="shared" si="155"/>
        <v>0</v>
      </c>
      <c r="BM114" s="146">
        <f>BI114+BL114</f>
        <v>219100</v>
      </c>
      <c r="BN114" s="172"/>
      <c r="BO114" s="172"/>
      <c r="BP114" s="172"/>
      <c r="BQ114" s="172"/>
      <c r="BR114" s="172"/>
      <c r="BS114" s="172"/>
      <c r="BT114" s="172"/>
      <c r="BU114" s="172"/>
      <c r="BV114" s="172"/>
      <c r="BW114" s="172"/>
      <c r="BX114" s="172"/>
      <c r="BY114" s="172"/>
      <c r="BZ114" s="172"/>
      <c r="CA114" s="172"/>
      <c r="CB114" s="172"/>
      <c r="CC114" s="172"/>
      <c r="CD114" s="172"/>
      <c r="CE114" s="172"/>
      <c r="CF114" s="172"/>
      <c r="CG114" s="172"/>
      <c r="CH114" s="172"/>
      <c r="CI114" s="172"/>
      <c r="CJ114" s="172"/>
      <c r="CK114" s="172"/>
      <c r="CL114" s="172"/>
      <c r="CM114" s="172"/>
      <c r="CN114" s="172"/>
      <c r="CO114" s="172"/>
      <c r="CP114" s="172"/>
      <c r="CQ114" s="172"/>
      <c r="CR114" s="172"/>
    </row>
    <row r="115" spans="1:109" s="198" customFormat="1" ht="39.75" customHeight="1">
      <c r="A115" s="196" t="s">
        <v>72</v>
      </c>
      <c r="B115" s="196" t="s">
        <v>111</v>
      </c>
      <c r="C115" s="186" t="s">
        <v>89</v>
      </c>
      <c r="D115" s="167"/>
      <c r="E115" s="167"/>
      <c r="F115" s="167"/>
      <c r="G115" s="147"/>
      <c r="H115" s="147"/>
      <c r="I115" s="147"/>
      <c r="J115" s="147"/>
      <c r="K115" s="167"/>
      <c r="L115" s="167"/>
      <c r="M115" s="167"/>
      <c r="N115" s="147"/>
      <c r="O115" s="147"/>
      <c r="P115" s="147"/>
      <c r="Q115" s="147"/>
      <c r="R115" s="147"/>
      <c r="S115" s="147"/>
      <c r="T115" s="147"/>
      <c r="U115" s="147"/>
      <c r="V115" s="147"/>
      <c r="W115" s="147"/>
      <c r="X115" s="147"/>
      <c r="Y115" s="147"/>
      <c r="Z115" s="147"/>
      <c r="AA115" s="147"/>
      <c r="AB115" s="147"/>
      <c r="AC115" s="147"/>
      <c r="AD115" s="168"/>
      <c r="AE115" s="147"/>
      <c r="AF115" s="147"/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  <c r="BI115" s="147">
        <f>BI116+BI120+BI122+BI123+BI124+BI127+BI128+BI136</f>
        <v>300000</v>
      </c>
      <c r="BJ115" s="147" t="e">
        <f>BJ116+BJ120+BJ122+BJ123+BJ124+BJ127+BJ128+BJ136</f>
        <v>#REF!</v>
      </c>
      <c r="BK115" s="147" t="e">
        <f>BK116+BK120+BK122+BK123+BK124+BK127+BK128+BK136</f>
        <v>#REF!</v>
      </c>
      <c r="BL115" s="147">
        <f>BL116+BL120+BL122+BL123+BL124+BL127+BL128+BL136</f>
        <v>0</v>
      </c>
      <c r="BM115" s="147">
        <f>BI115+BL115</f>
        <v>300000</v>
      </c>
      <c r="BN115" s="197"/>
      <c r="BO115" s="197"/>
      <c r="BP115" s="197"/>
      <c r="BQ115" s="197"/>
      <c r="BR115" s="197"/>
      <c r="BS115" s="197"/>
      <c r="BT115" s="197"/>
      <c r="BU115" s="197"/>
      <c r="BV115" s="197"/>
      <c r="BW115" s="197"/>
      <c r="BX115" s="197"/>
      <c r="BY115" s="197"/>
      <c r="BZ115" s="197"/>
      <c r="CA115" s="197"/>
      <c r="CB115" s="197"/>
      <c r="CC115" s="197"/>
      <c r="CD115" s="197"/>
      <c r="CE115" s="197"/>
      <c r="CF115" s="197"/>
      <c r="CG115" s="197"/>
      <c r="CH115" s="197"/>
      <c r="CI115" s="197"/>
      <c r="CJ115" s="197"/>
      <c r="CK115" s="197"/>
      <c r="CL115" s="197"/>
      <c r="CM115" s="197"/>
      <c r="CN115" s="197"/>
      <c r="CO115" s="197"/>
      <c r="CP115" s="197"/>
      <c r="CQ115" s="197"/>
      <c r="CR115" s="197"/>
    </row>
    <row r="116" spans="1:109" s="99" customFormat="1" ht="16.5" customHeight="1">
      <c r="A116" s="52"/>
      <c r="B116" s="50">
        <v>222</v>
      </c>
      <c r="C116" s="85" t="s">
        <v>13</v>
      </c>
      <c r="D116" s="468" t="e">
        <f>#REF!+D120</f>
        <v>#REF!</v>
      </c>
      <c r="E116" s="468" t="e">
        <f>#REF!+E120</f>
        <v>#REF!</v>
      </c>
      <c r="F116" s="468" t="e">
        <f>#REF!+F120</f>
        <v>#REF!</v>
      </c>
      <c r="G116" s="468" t="e">
        <f>#REF!+G120</f>
        <v>#REF!</v>
      </c>
      <c r="H116" s="468" t="e">
        <f>D116+G116</f>
        <v>#REF!</v>
      </c>
      <c r="I116" s="468"/>
      <c r="J116" s="468" t="e">
        <f>#REF!+J120</f>
        <v>#REF!</v>
      </c>
      <c r="K116" s="468">
        <v>25000</v>
      </c>
      <c r="L116" s="468"/>
      <c r="M116" s="468"/>
      <c r="N116" s="468" t="e">
        <f>J116+M116</f>
        <v>#REF!</v>
      </c>
      <c r="O116" s="468"/>
      <c r="P116" s="468" t="e">
        <f>N116+O116</f>
        <v>#REF!</v>
      </c>
      <c r="Q116" s="468"/>
      <c r="R116" s="468" t="e">
        <f>P116+Q116</f>
        <v>#REF!</v>
      </c>
      <c r="S116" s="468"/>
      <c r="T116" s="468" t="e">
        <f>R116+S116</f>
        <v>#REF!</v>
      </c>
      <c r="U116" s="468"/>
      <c r="V116" s="468" t="e">
        <f>T116+U116</f>
        <v>#REF!</v>
      </c>
      <c r="W116" s="468"/>
      <c r="X116" s="468" t="e">
        <f>V116+W116</f>
        <v>#REF!</v>
      </c>
      <c r="Y116" s="468"/>
      <c r="Z116" s="468" t="e">
        <f>X116+Y116</f>
        <v>#REF!</v>
      </c>
      <c r="AA116" s="468"/>
      <c r="AB116" s="468" t="e">
        <f>Z116+AA116</f>
        <v>#REF!</v>
      </c>
      <c r="AC116" s="468"/>
      <c r="AD116" s="90" t="s">
        <v>78</v>
      </c>
      <c r="AE116" s="468" t="e">
        <f>#REF!+#REF!</f>
        <v>#REF!</v>
      </c>
      <c r="AF116" s="468"/>
      <c r="AG116" s="468" t="e">
        <f>AE116+AF116</f>
        <v>#REF!</v>
      </c>
      <c r="AH116" s="468"/>
      <c r="AI116" s="468" t="e">
        <f>AG116+AH116</f>
        <v>#REF!</v>
      </c>
      <c r="AJ116" s="468"/>
      <c r="AK116" s="468" t="e">
        <f>AI116+AJ116</f>
        <v>#REF!</v>
      </c>
      <c r="AL116" s="468"/>
      <c r="AM116" s="468" t="e">
        <f>AK116+AL116</f>
        <v>#REF!</v>
      </c>
      <c r="AN116" s="468"/>
      <c r="AO116" s="468" t="e">
        <f>AM116+AN116</f>
        <v>#REF!</v>
      </c>
      <c r="AP116" s="468"/>
      <c r="AQ116" s="468" t="e">
        <f>AO116+AP116</f>
        <v>#REF!</v>
      </c>
      <c r="AR116" s="468"/>
      <c r="AS116" s="468" t="e">
        <f>AQ116+AR116</f>
        <v>#REF!</v>
      </c>
      <c r="AT116" s="468"/>
      <c r="AU116" s="468" t="e">
        <f>AS116+AT116</f>
        <v>#REF!</v>
      </c>
      <c r="AV116" s="468"/>
      <c r="AW116" s="468" t="e">
        <f>#REF!+AW120+#REF!+#REF!+#REF!</f>
        <v>#REF!</v>
      </c>
      <c r="AX116" s="468"/>
      <c r="AY116" s="468" t="e">
        <f t="shared" ref="AY116:AY120" si="156">AX116+AW116</f>
        <v>#REF!</v>
      </c>
      <c r="AZ116" s="468"/>
      <c r="BA116" s="468" t="e">
        <f>#REF!</f>
        <v>#REF!</v>
      </c>
      <c r="BB116" s="468" t="e">
        <f>#REF!</f>
        <v>#REF!</v>
      </c>
      <c r="BC116" s="468" t="e">
        <f>#REF!</f>
        <v>#REF!</v>
      </c>
      <c r="BD116" s="468" t="e">
        <f>#REF!</f>
        <v>#REF!</v>
      </c>
      <c r="BE116" s="113" t="e">
        <f t="shared" ref="BE116:BG116" si="157">BC116+BD116</f>
        <v>#REF!</v>
      </c>
      <c r="BF116" s="113"/>
      <c r="BG116" s="113" t="e">
        <f t="shared" si="157"/>
        <v>#REF!</v>
      </c>
      <c r="BH116" s="113"/>
      <c r="BI116" s="113">
        <f>BI117+BI118+BI119</f>
        <v>32000</v>
      </c>
      <c r="BJ116" s="113">
        <f t="shared" ref="BJ116:BL116" si="158">BJ117+BJ118+BJ119</f>
        <v>0</v>
      </c>
      <c r="BK116" s="113">
        <f t="shared" si="158"/>
        <v>0</v>
      </c>
      <c r="BL116" s="113">
        <f t="shared" si="158"/>
        <v>0</v>
      </c>
      <c r="BM116" s="147">
        <f t="shared" ref="BM116:BM146" si="159">BI116+BL116</f>
        <v>32000</v>
      </c>
      <c r="BN116" s="96"/>
      <c r="BO116" s="96"/>
      <c r="BP116" s="96"/>
      <c r="BQ116" s="96"/>
      <c r="BR116" s="96"/>
      <c r="BS116" s="96"/>
      <c r="BT116" s="96"/>
      <c r="BU116" s="96"/>
      <c r="BV116" s="96"/>
      <c r="BW116" s="96"/>
      <c r="BX116" s="96"/>
      <c r="BY116" s="96"/>
      <c r="BZ116" s="96"/>
      <c r="CA116" s="96"/>
      <c r="CB116" s="96"/>
      <c r="CC116" s="96"/>
      <c r="CD116" s="96"/>
      <c r="CE116" s="96"/>
      <c r="CF116" s="96"/>
      <c r="CG116" s="96"/>
      <c r="CH116" s="96"/>
      <c r="CI116" s="96"/>
      <c r="CJ116" s="96"/>
      <c r="CK116" s="96"/>
      <c r="CL116" s="96"/>
      <c r="CM116" s="96"/>
      <c r="CN116" s="96"/>
      <c r="CO116" s="96"/>
      <c r="CP116" s="96"/>
      <c r="CQ116" s="96"/>
      <c r="CR116" s="96"/>
    </row>
    <row r="117" spans="1:109" s="99" customFormat="1" ht="28.5" customHeight="1">
      <c r="A117" s="52"/>
      <c r="B117" s="50"/>
      <c r="C117" s="150" t="s">
        <v>169</v>
      </c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58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125"/>
      <c r="BH117" s="125"/>
      <c r="BI117" s="128">
        <v>23600</v>
      </c>
      <c r="BJ117" s="128"/>
      <c r="BK117" s="128"/>
      <c r="BL117" s="128">
        <v>0</v>
      </c>
      <c r="BM117" s="250">
        <f t="shared" si="159"/>
        <v>23600</v>
      </c>
      <c r="BN117" s="96"/>
      <c r="BO117" s="96"/>
      <c r="BP117" s="96"/>
      <c r="BQ117" s="96"/>
      <c r="BR117" s="96"/>
      <c r="BS117" s="96"/>
      <c r="BT117" s="96"/>
      <c r="BU117" s="96"/>
      <c r="BV117" s="96"/>
      <c r="BW117" s="96"/>
      <c r="BX117" s="96"/>
      <c r="BY117" s="96"/>
      <c r="BZ117" s="96"/>
      <c r="CA117" s="96"/>
      <c r="CB117" s="96"/>
      <c r="CC117" s="96"/>
      <c r="CD117" s="96"/>
      <c r="CE117" s="96"/>
      <c r="CF117" s="96"/>
      <c r="CG117" s="96"/>
      <c r="CH117" s="96"/>
      <c r="CI117" s="96"/>
      <c r="CJ117" s="96"/>
      <c r="CK117" s="96"/>
      <c r="CL117" s="96"/>
      <c r="CM117" s="96"/>
      <c r="CN117" s="96"/>
      <c r="CO117" s="96"/>
      <c r="CP117" s="96"/>
      <c r="CQ117" s="96"/>
      <c r="CR117" s="96"/>
    </row>
    <row r="118" spans="1:109" s="99" customFormat="1" ht="26.25" customHeight="1">
      <c r="A118" s="52"/>
      <c r="B118" s="50"/>
      <c r="C118" s="150" t="s">
        <v>170</v>
      </c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58"/>
      <c r="AE118" s="125"/>
      <c r="AF118" s="125"/>
      <c r="AG118" s="125"/>
      <c r="AH118" s="125"/>
      <c r="AI118" s="125"/>
      <c r="AJ118" s="125"/>
      <c r="AK118" s="125"/>
      <c r="AL118" s="125"/>
      <c r="AM118" s="125"/>
      <c r="AN118" s="125"/>
      <c r="AO118" s="125"/>
      <c r="AP118" s="125"/>
      <c r="AQ118" s="125"/>
      <c r="AR118" s="125"/>
      <c r="AS118" s="125"/>
      <c r="AT118" s="125"/>
      <c r="AU118" s="125"/>
      <c r="AV118" s="125"/>
      <c r="AW118" s="125"/>
      <c r="AX118" s="125"/>
      <c r="AY118" s="125"/>
      <c r="AZ118" s="125"/>
      <c r="BA118" s="125"/>
      <c r="BB118" s="125"/>
      <c r="BC118" s="125"/>
      <c r="BD118" s="125"/>
      <c r="BE118" s="125"/>
      <c r="BF118" s="125"/>
      <c r="BG118" s="125"/>
      <c r="BH118" s="125"/>
      <c r="BI118" s="128">
        <v>2000</v>
      </c>
      <c r="BJ118" s="128"/>
      <c r="BK118" s="128"/>
      <c r="BL118" s="128">
        <v>0</v>
      </c>
      <c r="BM118" s="250">
        <f t="shared" si="159"/>
        <v>2000</v>
      </c>
      <c r="BN118" s="96"/>
      <c r="BO118" s="96"/>
      <c r="BP118" s="96"/>
      <c r="BQ118" s="96"/>
      <c r="BR118" s="96"/>
      <c r="BS118" s="96"/>
      <c r="BT118" s="96"/>
      <c r="BU118" s="96"/>
      <c r="BV118" s="96"/>
      <c r="BW118" s="96"/>
      <c r="BX118" s="96"/>
      <c r="BY118" s="96"/>
      <c r="BZ118" s="96"/>
      <c r="CA118" s="96"/>
      <c r="CB118" s="96"/>
      <c r="CC118" s="96"/>
      <c r="CD118" s="96"/>
      <c r="CE118" s="96"/>
      <c r="CF118" s="96"/>
      <c r="CG118" s="96"/>
      <c r="CH118" s="96"/>
      <c r="CI118" s="96"/>
      <c r="CJ118" s="96"/>
      <c r="CK118" s="96"/>
      <c r="CL118" s="96"/>
      <c r="CM118" s="96"/>
      <c r="CN118" s="96"/>
      <c r="CO118" s="96"/>
      <c r="CP118" s="96"/>
      <c r="CQ118" s="96"/>
      <c r="CR118" s="96"/>
    </row>
    <row r="119" spans="1:109" s="99" customFormat="1" ht="26.25" customHeight="1">
      <c r="A119" s="52"/>
      <c r="B119" s="50"/>
      <c r="C119" s="150" t="s">
        <v>275</v>
      </c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58"/>
      <c r="AE119" s="125"/>
      <c r="AF119" s="125"/>
      <c r="AG119" s="125"/>
      <c r="AH119" s="125"/>
      <c r="AI119" s="125"/>
      <c r="AJ119" s="125"/>
      <c r="AK119" s="125"/>
      <c r="AL119" s="125"/>
      <c r="AM119" s="125"/>
      <c r="AN119" s="125"/>
      <c r="AO119" s="125"/>
      <c r="AP119" s="125"/>
      <c r="AQ119" s="125"/>
      <c r="AR119" s="125"/>
      <c r="AS119" s="125"/>
      <c r="AT119" s="125"/>
      <c r="AU119" s="125"/>
      <c r="AV119" s="125"/>
      <c r="AW119" s="125"/>
      <c r="AX119" s="125"/>
      <c r="AY119" s="125"/>
      <c r="AZ119" s="125"/>
      <c r="BA119" s="125"/>
      <c r="BB119" s="125"/>
      <c r="BC119" s="125"/>
      <c r="BD119" s="125"/>
      <c r="BE119" s="125"/>
      <c r="BF119" s="125"/>
      <c r="BG119" s="125"/>
      <c r="BH119" s="125"/>
      <c r="BI119" s="128">
        <v>6400</v>
      </c>
      <c r="BJ119" s="128"/>
      <c r="BK119" s="128"/>
      <c r="BL119" s="128">
        <v>0</v>
      </c>
      <c r="BM119" s="250">
        <f t="shared" si="159"/>
        <v>6400</v>
      </c>
      <c r="BN119" s="96"/>
      <c r="BO119" s="96"/>
      <c r="BP119" s="96"/>
      <c r="BQ119" s="96"/>
      <c r="BR119" s="96"/>
      <c r="BS119" s="96"/>
      <c r="BT119" s="96"/>
      <c r="BU119" s="96"/>
      <c r="BV119" s="96"/>
      <c r="BW119" s="96"/>
      <c r="BX119" s="96"/>
      <c r="BY119" s="96"/>
      <c r="BZ119" s="96"/>
      <c r="CA119" s="96"/>
      <c r="CB119" s="96"/>
      <c r="CC119" s="96"/>
      <c r="CD119" s="96"/>
      <c r="CE119" s="96"/>
      <c r="CF119" s="96"/>
      <c r="CG119" s="96"/>
      <c r="CH119" s="96"/>
      <c r="CI119" s="96"/>
      <c r="CJ119" s="96"/>
      <c r="CK119" s="96"/>
      <c r="CL119" s="96"/>
      <c r="CM119" s="96"/>
      <c r="CN119" s="96"/>
      <c r="CO119" s="96"/>
      <c r="CP119" s="96"/>
      <c r="CQ119" s="96"/>
      <c r="CR119" s="96"/>
    </row>
    <row r="120" spans="1:109" s="99" customFormat="1" ht="11.25" customHeight="1">
      <c r="A120" s="52"/>
      <c r="B120" s="50">
        <v>226</v>
      </c>
      <c r="C120" s="85" t="s">
        <v>8</v>
      </c>
      <c r="D120" s="468" t="e">
        <f>#REF!</f>
        <v>#REF!</v>
      </c>
      <c r="E120" s="468" t="e">
        <f>D120</f>
        <v>#REF!</v>
      </c>
      <c r="F120" s="468" t="e">
        <f>E120</f>
        <v>#REF!</v>
      </c>
      <c r="G120" s="468" t="e">
        <f>#REF!</f>
        <v>#REF!</v>
      </c>
      <c r="H120" s="468" t="e">
        <f>D120+G120</f>
        <v>#REF!</v>
      </c>
      <c r="I120" s="468"/>
      <c r="J120" s="468" t="e">
        <f>#REF!</f>
        <v>#REF!</v>
      </c>
      <c r="K120" s="468" t="e">
        <f>#REF!</f>
        <v>#REF!</v>
      </c>
      <c r="L120" s="468"/>
      <c r="M120" s="468"/>
      <c r="N120" s="468" t="e">
        <f>J120+M120</f>
        <v>#REF!</v>
      </c>
      <c r="O120" s="468"/>
      <c r="P120" s="468" t="e">
        <f>N120+O120</f>
        <v>#REF!</v>
      </c>
      <c r="Q120" s="468"/>
      <c r="R120" s="468" t="e">
        <f>P120+Q120</f>
        <v>#REF!</v>
      </c>
      <c r="S120" s="468"/>
      <c r="T120" s="468" t="e">
        <f>R120+S120</f>
        <v>#REF!</v>
      </c>
      <c r="U120" s="468"/>
      <c r="V120" s="468" t="e">
        <f>T120+U120</f>
        <v>#REF!</v>
      </c>
      <c r="W120" s="468" t="e">
        <f>#REF!</f>
        <v>#REF!</v>
      </c>
      <c r="X120" s="468" t="e">
        <f>V120+W120</f>
        <v>#REF!</v>
      </c>
      <c r="Y120" s="468"/>
      <c r="Z120" s="468" t="e">
        <f>X120+Y120</f>
        <v>#REF!</v>
      </c>
      <c r="AA120" s="468"/>
      <c r="AB120" s="468" t="e">
        <f>Z120+AA120</f>
        <v>#REF!</v>
      </c>
      <c r="AC120" s="468"/>
      <c r="AD120" s="90" t="s">
        <v>78</v>
      </c>
      <c r="AE120" s="468" t="e">
        <f>#REF!</f>
        <v>#REF!</v>
      </c>
      <c r="AF120" s="468"/>
      <c r="AG120" s="468" t="e">
        <f>AE120+AF120</f>
        <v>#REF!</v>
      </c>
      <c r="AH120" s="468"/>
      <c r="AI120" s="468" t="e">
        <f>AG120+AH120</f>
        <v>#REF!</v>
      </c>
      <c r="AJ120" s="468"/>
      <c r="AK120" s="468" t="e">
        <f>AI120+AJ120</f>
        <v>#REF!</v>
      </c>
      <c r="AL120" s="468"/>
      <c r="AM120" s="468" t="e">
        <f>AK120+AL120</f>
        <v>#REF!</v>
      </c>
      <c r="AN120" s="468"/>
      <c r="AO120" s="468" t="e">
        <f>AM120+AN120</f>
        <v>#REF!</v>
      </c>
      <c r="AP120" s="468"/>
      <c r="AQ120" s="468" t="e">
        <f>AO120+AP120</f>
        <v>#REF!</v>
      </c>
      <c r="AR120" s="468"/>
      <c r="AS120" s="468" t="e">
        <f>AQ120+AR120</f>
        <v>#REF!</v>
      </c>
      <c r="AT120" s="468"/>
      <c r="AU120" s="468" t="e">
        <f>AS120+AT120</f>
        <v>#REF!</v>
      </c>
      <c r="AV120" s="468"/>
      <c r="AW120" s="468" t="e">
        <f>#REF!+#REF!+#REF!</f>
        <v>#REF!</v>
      </c>
      <c r="AX120" s="468"/>
      <c r="AY120" s="468" t="e">
        <f t="shared" si="156"/>
        <v>#REF!</v>
      </c>
      <c r="AZ120" s="468"/>
      <c r="BA120" s="468" t="e">
        <f>#REF!</f>
        <v>#REF!</v>
      </c>
      <c r="BB120" s="468" t="e">
        <f>#REF!</f>
        <v>#REF!</v>
      </c>
      <c r="BC120" s="468" t="e">
        <f>#REF!</f>
        <v>#REF!</v>
      </c>
      <c r="BD120" s="468" t="e">
        <f>#REF!</f>
        <v>#REF!</v>
      </c>
      <c r="BE120" s="468" t="e">
        <f>#REF!</f>
        <v>#REF!</v>
      </c>
      <c r="BF120" s="468"/>
      <c r="BG120" s="468" t="e">
        <f>#REF!</f>
        <v>#REF!</v>
      </c>
      <c r="BH120" s="468"/>
      <c r="BI120" s="113">
        <f>BI121</f>
        <v>38070</v>
      </c>
      <c r="BJ120" s="113">
        <f t="shared" ref="BJ120:BL120" si="160">BJ121</f>
        <v>0</v>
      </c>
      <c r="BK120" s="113">
        <f t="shared" si="160"/>
        <v>0</v>
      </c>
      <c r="BL120" s="113">
        <f t="shared" si="160"/>
        <v>0</v>
      </c>
      <c r="BM120" s="147">
        <f t="shared" si="159"/>
        <v>38070</v>
      </c>
      <c r="BN120" s="96"/>
      <c r="BO120" s="96"/>
      <c r="BP120" s="96"/>
      <c r="BQ120" s="96"/>
      <c r="BR120" s="96"/>
      <c r="BS120" s="96"/>
      <c r="BT120" s="96"/>
      <c r="BU120" s="96"/>
      <c r="BV120" s="96"/>
      <c r="BW120" s="96"/>
      <c r="BX120" s="96"/>
      <c r="BY120" s="96"/>
      <c r="BZ120" s="96"/>
      <c r="CA120" s="96"/>
      <c r="CB120" s="96"/>
      <c r="CC120" s="96"/>
      <c r="CD120" s="96"/>
      <c r="CE120" s="96"/>
      <c r="CF120" s="96"/>
      <c r="CG120" s="96"/>
      <c r="CH120" s="96"/>
      <c r="CI120" s="96"/>
      <c r="CJ120" s="96"/>
      <c r="CK120" s="96"/>
      <c r="CL120" s="96"/>
      <c r="CM120" s="96"/>
      <c r="CN120" s="96"/>
      <c r="CO120" s="96"/>
      <c r="CP120" s="96"/>
      <c r="CQ120" s="96"/>
      <c r="CR120" s="96"/>
    </row>
    <row r="121" spans="1:109" s="99" customFormat="1">
      <c r="A121" s="52"/>
      <c r="B121" s="50"/>
      <c r="C121" s="161" t="s">
        <v>171</v>
      </c>
      <c r="D121" s="468"/>
      <c r="E121" s="468"/>
      <c r="F121" s="468"/>
      <c r="G121" s="468"/>
      <c r="H121" s="468"/>
      <c r="I121" s="468"/>
      <c r="J121" s="468"/>
      <c r="K121" s="468"/>
      <c r="L121" s="468"/>
      <c r="M121" s="468"/>
      <c r="N121" s="468"/>
      <c r="O121" s="468"/>
      <c r="P121" s="468"/>
      <c r="Q121" s="468"/>
      <c r="R121" s="468"/>
      <c r="S121" s="468"/>
      <c r="T121" s="468"/>
      <c r="U121" s="468"/>
      <c r="V121" s="468"/>
      <c r="W121" s="468"/>
      <c r="X121" s="468"/>
      <c r="Y121" s="468"/>
      <c r="Z121" s="468"/>
      <c r="AA121" s="468"/>
      <c r="AB121" s="468"/>
      <c r="AC121" s="468"/>
      <c r="AD121" s="90"/>
      <c r="AE121" s="468"/>
      <c r="AF121" s="468"/>
      <c r="AG121" s="468"/>
      <c r="AH121" s="468"/>
      <c r="AI121" s="468"/>
      <c r="AJ121" s="468"/>
      <c r="AK121" s="468"/>
      <c r="AL121" s="468"/>
      <c r="AM121" s="468"/>
      <c r="AN121" s="468"/>
      <c r="AO121" s="468"/>
      <c r="AP121" s="468"/>
      <c r="AQ121" s="468"/>
      <c r="AR121" s="468"/>
      <c r="AS121" s="468"/>
      <c r="AT121" s="468"/>
      <c r="AU121" s="468"/>
      <c r="AV121" s="468"/>
      <c r="AW121" s="468"/>
      <c r="AX121" s="468"/>
      <c r="AY121" s="468"/>
      <c r="AZ121" s="468"/>
      <c r="BA121" s="468"/>
      <c r="BB121" s="468"/>
      <c r="BC121" s="468"/>
      <c r="BD121" s="468"/>
      <c r="BE121" s="468"/>
      <c r="BF121" s="468"/>
      <c r="BG121" s="468"/>
      <c r="BH121" s="468"/>
      <c r="BI121" s="128">
        <v>38070</v>
      </c>
      <c r="BJ121" s="128"/>
      <c r="BK121" s="128"/>
      <c r="BL121" s="128">
        <v>0</v>
      </c>
      <c r="BM121" s="250">
        <f t="shared" si="159"/>
        <v>38070</v>
      </c>
      <c r="BN121" s="96"/>
      <c r="BO121" s="96"/>
      <c r="BP121" s="96"/>
      <c r="BQ121" s="96"/>
      <c r="BR121" s="96"/>
      <c r="BS121" s="96"/>
      <c r="BT121" s="96"/>
      <c r="BU121" s="96"/>
      <c r="BV121" s="96"/>
      <c r="BW121" s="96"/>
      <c r="BX121" s="96"/>
      <c r="BY121" s="96"/>
      <c r="BZ121" s="96"/>
      <c r="CA121" s="96"/>
      <c r="CB121" s="96"/>
      <c r="CC121" s="96"/>
      <c r="CD121" s="96"/>
      <c r="CE121" s="96"/>
      <c r="CF121" s="96"/>
      <c r="CG121" s="96"/>
      <c r="CH121" s="96"/>
      <c r="CI121" s="96"/>
      <c r="CJ121" s="96"/>
      <c r="CK121" s="96"/>
      <c r="CL121" s="96"/>
      <c r="CM121" s="96"/>
      <c r="CN121" s="96"/>
      <c r="CO121" s="96"/>
      <c r="CP121" s="96"/>
      <c r="CQ121" s="96"/>
      <c r="CR121" s="96"/>
    </row>
    <row r="122" spans="1:109" s="99" customFormat="1" ht="15" customHeight="1">
      <c r="A122" s="52"/>
      <c r="B122" s="50">
        <v>227</v>
      </c>
      <c r="C122" s="85" t="s">
        <v>118</v>
      </c>
      <c r="D122" s="468" t="e">
        <f>#REF!</f>
        <v>#REF!</v>
      </c>
      <c r="E122" s="468" t="e">
        <f>D122</f>
        <v>#REF!</v>
      </c>
      <c r="F122" s="468" t="e">
        <f>E122</f>
        <v>#REF!</v>
      </c>
      <c r="G122" s="468" t="e">
        <f>SUM(#REF!)</f>
        <v>#REF!</v>
      </c>
      <c r="H122" s="468" t="e">
        <f>D122+G122</f>
        <v>#REF!</v>
      </c>
      <c r="I122" s="468"/>
      <c r="J122" s="468" t="e">
        <f>H122</f>
        <v>#REF!</v>
      </c>
      <c r="K122" s="468">
        <v>59305.42</v>
      </c>
      <c r="L122" s="468"/>
      <c r="M122" s="468"/>
      <c r="N122" s="468" t="e">
        <f>J122+M122</f>
        <v>#REF!</v>
      </c>
      <c r="O122" s="468"/>
      <c r="P122" s="468" t="e">
        <f>N122+O122</f>
        <v>#REF!</v>
      </c>
      <c r="Q122" s="468"/>
      <c r="R122" s="468" t="e">
        <f>P122+Q122</f>
        <v>#REF!</v>
      </c>
      <c r="S122" s="468"/>
      <c r="T122" s="468" t="e">
        <f>R122+S122</f>
        <v>#REF!</v>
      </c>
      <c r="U122" s="468"/>
      <c r="V122" s="468" t="e">
        <f>T122+U122</f>
        <v>#REF!</v>
      </c>
      <c r="W122" s="468"/>
      <c r="X122" s="468" t="e">
        <f>V122+W122</f>
        <v>#REF!</v>
      </c>
      <c r="Y122" s="468"/>
      <c r="Z122" s="468" t="e">
        <f>X122+Y122</f>
        <v>#REF!</v>
      </c>
      <c r="AA122" s="468"/>
      <c r="AB122" s="468" t="e">
        <f>Z122+AA122</f>
        <v>#REF!</v>
      </c>
      <c r="AC122" s="468"/>
      <c r="AD122" s="90" t="s">
        <v>78</v>
      </c>
      <c r="AE122" s="468" t="e">
        <f>#REF!+#REF!</f>
        <v>#REF!</v>
      </c>
      <c r="AF122" s="468"/>
      <c r="AG122" s="468" t="e">
        <f>AE122+AF122</f>
        <v>#REF!</v>
      </c>
      <c r="AH122" s="468"/>
      <c r="AI122" s="468" t="e">
        <f>AG122+AH122</f>
        <v>#REF!</v>
      </c>
      <c r="AJ122" s="468"/>
      <c r="AK122" s="468" t="e">
        <f>AI122+AJ122</f>
        <v>#REF!</v>
      </c>
      <c r="AL122" s="468"/>
      <c r="AM122" s="468" t="e">
        <f>AK122+AL122</f>
        <v>#REF!</v>
      </c>
      <c r="AN122" s="468"/>
      <c r="AO122" s="468" t="e">
        <f>AM122+AN122</f>
        <v>#REF!</v>
      </c>
      <c r="AP122" s="468" t="e">
        <f>#REF!</f>
        <v>#REF!</v>
      </c>
      <c r="AQ122" s="468" t="e">
        <f>AO122+AP122</f>
        <v>#REF!</v>
      </c>
      <c r="AR122" s="468"/>
      <c r="AS122" s="468" t="e">
        <f>AQ122+AR122</f>
        <v>#REF!</v>
      </c>
      <c r="AT122" s="468"/>
      <c r="AU122" s="468" t="e">
        <f>AS122+AT122</f>
        <v>#REF!</v>
      </c>
      <c r="AV122" s="468"/>
      <c r="AW122" s="468" t="e">
        <f>#REF!+#REF!+#REF!+#REF!+#REF!+#REF!+#REF!+#REF!+#REF!</f>
        <v>#REF!</v>
      </c>
      <c r="AX122" s="468"/>
      <c r="AY122" s="468" t="e">
        <f>AX122+AW122</f>
        <v>#REF!</v>
      </c>
      <c r="AZ122" s="468"/>
      <c r="BA122" s="468" t="e">
        <f>#REF!</f>
        <v>#REF!</v>
      </c>
      <c r="BB122" s="468" t="e">
        <f>#REF!</f>
        <v>#REF!</v>
      </c>
      <c r="BC122" s="468" t="e">
        <f>#REF!</f>
        <v>#REF!</v>
      </c>
      <c r="BD122" s="468" t="e">
        <f>#REF!</f>
        <v>#REF!</v>
      </c>
      <c r="BE122" s="468" t="e">
        <f>BC122+BD122</f>
        <v>#REF!</v>
      </c>
      <c r="BF122" s="468"/>
      <c r="BG122" s="468" t="e">
        <f>BE122+BF122</f>
        <v>#REF!</v>
      </c>
      <c r="BH122" s="468"/>
      <c r="BI122" s="113">
        <v>1600</v>
      </c>
      <c r="BJ122" s="113" t="e">
        <f>#REF!+#REF!</f>
        <v>#REF!</v>
      </c>
      <c r="BK122" s="113" t="e">
        <f>#REF!+#REF!</f>
        <v>#REF!</v>
      </c>
      <c r="BL122" s="113">
        <v>0</v>
      </c>
      <c r="BM122" s="147">
        <f t="shared" si="159"/>
        <v>1600</v>
      </c>
      <c r="BN122" s="96"/>
      <c r="BO122" s="96"/>
      <c r="BP122" s="96"/>
      <c r="BQ122" s="96"/>
      <c r="BR122" s="96"/>
      <c r="BS122" s="96"/>
      <c r="BT122" s="96"/>
      <c r="BU122" s="96"/>
      <c r="BV122" s="96"/>
      <c r="BW122" s="96"/>
      <c r="BX122" s="96"/>
      <c r="BY122" s="96"/>
      <c r="BZ122" s="96"/>
      <c r="CA122" s="96"/>
      <c r="CB122" s="96"/>
      <c r="CC122" s="96"/>
      <c r="CD122" s="96"/>
      <c r="CE122" s="96"/>
      <c r="CF122" s="96"/>
      <c r="CG122" s="96"/>
      <c r="CH122" s="96"/>
      <c r="CI122" s="96"/>
      <c r="CJ122" s="96"/>
      <c r="CK122" s="96"/>
      <c r="CL122" s="96"/>
      <c r="CM122" s="96"/>
      <c r="CN122" s="96"/>
      <c r="CO122" s="96"/>
      <c r="CP122" s="96"/>
      <c r="CQ122" s="96"/>
      <c r="CR122" s="96"/>
    </row>
    <row r="123" spans="1:109" s="99" customFormat="1">
      <c r="A123" s="52"/>
      <c r="B123" s="50">
        <v>341</v>
      </c>
      <c r="C123" s="120" t="s">
        <v>113</v>
      </c>
      <c r="D123" s="468"/>
      <c r="E123" s="468"/>
      <c r="F123" s="468"/>
      <c r="G123" s="468"/>
      <c r="H123" s="468"/>
      <c r="I123" s="468"/>
      <c r="J123" s="468"/>
      <c r="K123" s="468"/>
      <c r="L123" s="468"/>
      <c r="M123" s="468"/>
      <c r="N123" s="468"/>
      <c r="O123" s="468"/>
      <c r="P123" s="468"/>
      <c r="Q123" s="468"/>
      <c r="R123" s="468"/>
      <c r="S123" s="468"/>
      <c r="T123" s="468"/>
      <c r="U123" s="468"/>
      <c r="V123" s="468"/>
      <c r="W123" s="468"/>
      <c r="X123" s="468"/>
      <c r="Y123" s="468"/>
      <c r="Z123" s="468"/>
      <c r="AA123" s="468"/>
      <c r="AB123" s="468"/>
      <c r="AC123" s="468"/>
      <c r="AD123" s="90" t="s">
        <v>78</v>
      </c>
      <c r="AE123" s="468"/>
      <c r="AF123" s="468"/>
      <c r="AG123" s="468"/>
      <c r="AH123" s="468"/>
      <c r="AI123" s="468"/>
      <c r="AJ123" s="468"/>
      <c r="AK123" s="468"/>
      <c r="AL123" s="468"/>
      <c r="AM123" s="468"/>
      <c r="AN123" s="468"/>
      <c r="AO123" s="468"/>
      <c r="AP123" s="468"/>
      <c r="AQ123" s="468"/>
      <c r="AR123" s="468"/>
      <c r="AS123" s="468"/>
      <c r="AT123" s="468"/>
      <c r="AU123" s="468"/>
      <c r="AV123" s="468"/>
      <c r="AW123" s="468"/>
      <c r="AX123" s="468"/>
      <c r="AY123" s="468"/>
      <c r="AZ123" s="468"/>
      <c r="BA123" s="121"/>
      <c r="BB123" s="121"/>
      <c r="BC123" s="121"/>
      <c r="BD123" s="121"/>
      <c r="BE123" s="121"/>
      <c r="BF123" s="121"/>
      <c r="BG123" s="121"/>
      <c r="BH123" s="121"/>
      <c r="BI123" s="205">
        <v>4500</v>
      </c>
      <c r="BJ123" s="205">
        <v>1712.5</v>
      </c>
      <c r="BK123" s="205">
        <v>1712.5</v>
      </c>
      <c r="BL123" s="205">
        <v>0</v>
      </c>
      <c r="BM123" s="147">
        <f t="shared" si="159"/>
        <v>4500</v>
      </c>
      <c r="BN123" s="96"/>
      <c r="BO123" s="96"/>
      <c r="BP123" s="96"/>
      <c r="BQ123" s="96"/>
      <c r="BR123" s="96"/>
      <c r="BS123" s="96"/>
      <c r="BT123" s="96"/>
      <c r="BU123" s="96"/>
      <c r="BV123" s="96"/>
      <c r="BW123" s="96"/>
      <c r="BX123" s="96"/>
      <c r="BY123" s="96"/>
      <c r="BZ123" s="96"/>
      <c r="CA123" s="96"/>
      <c r="CB123" s="96"/>
      <c r="CC123" s="96"/>
      <c r="CD123" s="96"/>
      <c r="CE123" s="96"/>
      <c r="CF123" s="96"/>
      <c r="CG123" s="96"/>
      <c r="CH123" s="96"/>
      <c r="CI123" s="96"/>
      <c r="CJ123" s="96"/>
      <c r="CK123" s="96"/>
      <c r="CL123" s="96"/>
      <c r="CM123" s="96"/>
      <c r="CN123" s="96"/>
      <c r="CO123" s="96"/>
      <c r="CP123" s="96"/>
      <c r="CQ123" s="96"/>
      <c r="CR123" s="96"/>
    </row>
    <row r="124" spans="1:109" s="99" customFormat="1">
      <c r="A124" s="52"/>
      <c r="B124" s="50">
        <v>342</v>
      </c>
      <c r="C124" s="120" t="s">
        <v>114</v>
      </c>
      <c r="D124" s="468"/>
      <c r="E124" s="468"/>
      <c r="F124" s="468"/>
      <c r="G124" s="468"/>
      <c r="H124" s="468"/>
      <c r="I124" s="468"/>
      <c r="J124" s="468"/>
      <c r="K124" s="468"/>
      <c r="L124" s="468"/>
      <c r="M124" s="468"/>
      <c r="N124" s="468"/>
      <c r="O124" s="468"/>
      <c r="P124" s="468"/>
      <c r="Q124" s="468"/>
      <c r="R124" s="468"/>
      <c r="S124" s="468"/>
      <c r="T124" s="468"/>
      <c r="U124" s="468"/>
      <c r="V124" s="468"/>
      <c r="W124" s="468"/>
      <c r="X124" s="468"/>
      <c r="Y124" s="468"/>
      <c r="Z124" s="468"/>
      <c r="AA124" s="468"/>
      <c r="AB124" s="468"/>
      <c r="AC124" s="468"/>
      <c r="AD124" s="90" t="s">
        <v>78</v>
      </c>
      <c r="AE124" s="468"/>
      <c r="AF124" s="468"/>
      <c r="AG124" s="468"/>
      <c r="AH124" s="468"/>
      <c r="AI124" s="468"/>
      <c r="AJ124" s="468"/>
      <c r="AK124" s="468"/>
      <c r="AL124" s="468"/>
      <c r="AM124" s="468"/>
      <c r="AN124" s="468"/>
      <c r="AO124" s="468"/>
      <c r="AP124" s="468"/>
      <c r="AQ124" s="468"/>
      <c r="AR124" s="468"/>
      <c r="AS124" s="468"/>
      <c r="AT124" s="468"/>
      <c r="AU124" s="468"/>
      <c r="AV124" s="468"/>
      <c r="AW124" s="468"/>
      <c r="AX124" s="468"/>
      <c r="AY124" s="468"/>
      <c r="AZ124" s="468"/>
      <c r="BA124" s="119" t="e">
        <f>SUM(#REF!)</f>
        <v>#REF!</v>
      </c>
      <c r="BB124" s="119" t="e">
        <f>SUM(#REF!)</f>
        <v>#REF!</v>
      </c>
      <c r="BC124" s="119" t="e">
        <f>SUM(#REF!)</f>
        <v>#REF!</v>
      </c>
      <c r="BD124" s="119" t="e">
        <f>SUM(#REF!)</f>
        <v>#REF!</v>
      </c>
      <c r="BE124" s="119" t="e">
        <f>SUM(#REF!)</f>
        <v>#REF!</v>
      </c>
      <c r="BF124" s="119"/>
      <c r="BG124" s="119" t="e">
        <f>SUM(#REF!)</f>
        <v>#REF!</v>
      </c>
      <c r="BH124" s="119"/>
      <c r="BI124" s="235">
        <f>BI125+BI126</f>
        <v>25050</v>
      </c>
      <c r="BJ124" s="235">
        <f t="shared" ref="BJ124:BL124" si="161">BJ125+BJ126</f>
        <v>0</v>
      </c>
      <c r="BK124" s="235">
        <f t="shared" si="161"/>
        <v>0</v>
      </c>
      <c r="BL124" s="235">
        <f t="shared" si="161"/>
        <v>0</v>
      </c>
      <c r="BM124" s="147">
        <f t="shared" si="159"/>
        <v>25050</v>
      </c>
      <c r="BN124" s="95"/>
      <c r="BO124" s="96"/>
      <c r="BP124" s="96"/>
      <c r="BQ124" s="96"/>
      <c r="BR124" s="96"/>
      <c r="BS124" s="96"/>
      <c r="BT124" s="96"/>
      <c r="BU124" s="96"/>
      <c r="BV124" s="96"/>
      <c r="BW124" s="96"/>
      <c r="BX124" s="96"/>
      <c r="BY124" s="96"/>
      <c r="BZ124" s="96"/>
      <c r="CA124" s="96"/>
      <c r="CB124" s="96"/>
      <c r="CC124" s="96"/>
      <c r="CD124" s="96"/>
      <c r="CE124" s="96"/>
      <c r="CF124" s="96"/>
      <c r="CG124" s="96"/>
      <c r="CH124" s="96"/>
      <c r="CI124" s="96"/>
      <c r="CJ124" s="96"/>
      <c r="CK124" s="96"/>
      <c r="CL124" s="96"/>
      <c r="CM124" s="96"/>
      <c r="CN124" s="96"/>
      <c r="CO124" s="96"/>
      <c r="CP124" s="96"/>
      <c r="CQ124" s="96"/>
      <c r="CR124" s="96"/>
    </row>
    <row r="125" spans="1:109" s="99" customFormat="1" ht="25.5">
      <c r="A125" s="52"/>
      <c r="B125" s="50"/>
      <c r="C125" s="272" t="s">
        <v>170</v>
      </c>
      <c r="D125" s="468"/>
      <c r="E125" s="468"/>
      <c r="F125" s="468"/>
      <c r="G125" s="468"/>
      <c r="H125" s="468"/>
      <c r="I125" s="468"/>
      <c r="J125" s="468"/>
      <c r="K125" s="468"/>
      <c r="L125" s="468"/>
      <c r="M125" s="468"/>
      <c r="N125" s="468"/>
      <c r="O125" s="468"/>
      <c r="P125" s="468"/>
      <c r="Q125" s="468"/>
      <c r="R125" s="468"/>
      <c r="S125" s="468"/>
      <c r="T125" s="468"/>
      <c r="U125" s="468"/>
      <c r="V125" s="468"/>
      <c r="W125" s="468"/>
      <c r="X125" s="468"/>
      <c r="Y125" s="468"/>
      <c r="Z125" s="468"/>
      <c r="AA125" s="468"/>
      <c r="AB125" s="468"/>
      <c r="AC125" s="468"/>
      <c r="AD125" s="158"/>
      <c r="AE125" s="125"/>
      <c r="AF125" s="125"/>
      <c r="AG125" s="125"/>
      <c r="AH125" s="125"/>
      <c r="AI125" s="125"/>
      <c r="AJ125" s="125"/>
      <c r="AK125" s="125"/>
      <c r="AL125" s="125"/>
      <c r="AM125" s="125"/>
      <c r="AN125" s="125"/>
      <c r="AO125" s="125"/>
      <c r="AP125" s="125"/>
      <c r="AQ125" s="125"/>
      <c r="AR125" s="125"/>
      <c r="AS125" s="125"/>
      <c r="AT125" s="125"/>
      <c r="AU125" s="125"/>
      <c r="AV125" s="125"/>
      <c r="AW125" s="125"/>
      <c r="AX125" s="125"/>
      <c r="AY125" s="125"/>
      <c r="AZ125" s="125"/>
      <c r="BA125" s="273"/>
      <c r="BB125" s="273"/>
      <c r="BC125" s="273"/>
      <c r="BD125" s="273"/>
      <c r="BE125" s="273"/>
      <c r="BF125" s="273"/>
      <c r="BG125" s="273"/>
      <c r="BH125" s="273"/>
      <c r="BI125" s="458">
        <v>3800</v>
      </c>
      <c r="BJ125" s="458"/>
      <c r="BK125" s="458"/>
      <c r="BL125" s="458">
        <v>0</v>
      </c>
      <c r="BM125" s="250">
        <f t="shared" si="159"/>
        <v>3800</v>
      </c>
      <c r="BN125" s="95"/>
      <c r="BO125" s="96"/>
      <c r="BP125" s="96"/>
      <c r="BQ125" s="96"/>
      <c r="BR125" s="96"/>
      <c r="BS125" s="96"/>
      <c r="BT125" s="96"/>
      <c r="BU125" s="96"/>
      <c r="BV125" s="96"/>
      <c r="BW125" s="96"/>
      <c r="BX125" s="96"/>
      <c r="BY125" s="96"/>
      <c r="BZ125" s="96"/>
      <c r="CA125" s="96"/>
      <c r="CB125" s="96"/>
      <c r="CC125" s="96"/>
      <c r="CD125" s="96"/>
      <c r="CE125" s="96"/>
      <c r="CF125" s="96"/>
      <c r="CG125" s="96"/>
      <c r="CH125" s="96"/>
      <c r="CI125" s="96"/>
      <c r="CJ125" s="96"/>
      <c r="CK125" s="96"/>
      <c r="CL125" s="96"/>
      <c r="CM125" s="96"/>
      <c r="CN125" s="96"/>
      <c r="CO125" s="96"/>
      <c r="CP125" s="96"/>
      <c r="CQ125" s="96"/>
      <c r="CR125" s="96"/>
    </row>
    <row r="126" spans="1:109" s="99" customFormat="1" ht="25.5">
      <c r="A126" s="182"/>
      <c r="B126" s="183"/>
      <c r="C126" s="272" t="s">
        <v>172</v>
      </c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58"/>
      <c r="AE126" s="125"/>
      <c r="AF126" s="125"/>
      <c r="AG126" s="125"/>
      <c r="AH126" s="125"/>
      <c r="AI126" s="125"/>
      <c r="AJ126" s="125"/>
      <c r="AK126" s="125"/>
      <c r="AL126" s="125"/>
      <c r="AM126" s="125"/>
      <c r="AN126" s="125"/>
      <c r="AO126" s="125"/>
      <c r="AP126" s="125"/>
      <c r="AQ126" s="125"/>
      <c r="AR126" s="125"/>
      <c r="AS126" s="125"/>
      <c r="AT126" s="125"/>
      <c r="AU126" s="125"/>
      <c r="AV126" s="125"/>
      <c r="AW126" s="125"/>
      <c r="AX126" s="125"/>
      <c r="AY126" s="125"/>
      <c r="AZ126" s="125"/>
      <c r="BA126" s="273"/>
      <c r="BB126" s="273"/>
      <c r="BC126" s="273"/>
      <c r="BD126" s="273"/>
      <c r="BE126" s="273"/>
      <c r="BF126" s="273"/>
      <c r="BG126" s="273"/>
      <c r="BH126" s="273"/>
      <c r="BI126" s="458">
        <v>21250</v>
      </c>
      <c r="BJ126" s="458"/>
      <c r="BK126" s="458"/>
      <c r="BL126" s="458">
        <v>0</v>
      </c>
      <c r="BM126" s="250">
        <f t="shared" si="159"/>
        <v>21250</v>
      </c>
      <c r="BN126" s="95"/>
      <c r="BO126" s="96"/>
      <c r="BP126" s="96"/>
      <c r="BQ126" s="96"/>
      <c r="BR126" s="96"/>
      <c r="BS126" s="96"/>
      <c r="BT126" s="96"/>
      <c r="BU126" s="96"/>
      <c r="BV126" s="96"/>
      <c r="BW126" s="96"/>
      <c r="BX126" s="96"/>
      <c r="BY126" s="96"/>
      <c r="BZ126" s="96"/>
      <c r="CA126" s="96"/>
      <c r="CB126" s="96"/>
      <c r="CC126" s="96"/>
      <c r="CD126" s="96"/>
      <c r="CE126" s="96"/>
      <c r="CF126" s="96"/>
      <c r="CG126" s="96"/>
      <c r="CH126" s="96"/>
      <c r="CI126" s="96"/>
      <c r="CJ126" s="96"/>
      <c r="CK126" s="96"/>
      <c r="CL126" s="96"/>
      <c r="CM126" s="96"/>
      <c r="CN126" s="96"/>
      <c r="CO126" s="96"/>
      <c r="CP126" s="96"/>
      <c r="CQ126" s="96"/>
      <c r="CR126" s="96"/>
    </row>
    <row r="127" spans="1:109" s="123" customFormat="1">
      <c r="A127" s="201"/>
      <c r="B127" s="183">
        <v>345</v>
      </c>
      <c r="C127" s="223" t="s">
        <v>115</v>
      </c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77" t="s">
        <v>78</v>
      </c>
      <c r="AE127" s="113"/>
      <c r="AF127" s="113"/>
      <c r="AG127" s="113"/>
      <c r="AH127" s="113"/>
      <c r="AI127" s="113"/>
      <c r="AJ127" s="113"/>
      <c r="AK127" s="113"/>
      <c r="AL127" s="113"/>
      <c r="AM127" s="113"/>
      <c r="AN127" s="113"/>
      <c r="AO127" s="113"/>
      <c r="AP127" s="113"/>
      <c r="AQ127" s="113"/>
      <c r="AR127" s="113"/>
      <c r="AS127" s="113"/>
      <c r="AT127" s="113"/>
      <c r="AU127" s="113"/>
      <c r="AV127" s="113"/>
      <c r="AW127" s="113"/>
      <c r="AX127" s="113"/>
      <c r="AY127" s="113"/>
      <c r="AZ127" s="113"/>
      <c r="BA127" s="184"/>
      <c r="BB127" s="184"/>
      <c r="BC127" s="184"/>
      <c r="BD127" s="184"/>
      <c r="BE127" s="184"/>
      <c r="BF127" s="184"/>
      <c r="BG127" s="184"/>
      <c r="BH127" s="184"/>
      <c r="BI127" s="205">
        <v>119450</v>
      </c>
      <c r="BJ127" s="205"/>
      <c r="BK127" s="205"/>
      <c r="BL127" s="205">
        <v>0</v>
      </c>
      <c r="BM127" s="147">
        <f t="shared" si="159"/>
        <v>119450</v>
      </c>
      <c r="BN127" s="122"/>
      <c r="BO127" s="122"/>
      <c r="BP127" s="122"/>
      <c r="BQ127" s="122"/>
      <c r="BR127" s="122"/>
      <c r="BS127" s="122"/>
      <c r="BT127" s="122"/>
      <c r="BU127" s="122"/>
      <c r="BV127" s="122"/>
      <c r="BW127" s="122"/>
      <c r="BX127" s="122"/>
      <c r="BY127" s="122"/>
      <c r="BZ127" s="122"/>
      <c r="CA127" s="122"/>
      <c r="CB127" s="122"/>
      <c r="CC127" s="122"/>
      <c r="CD127" s="122"/>
      <c r="CE127" s="122"/>
      <c r="CF127" s="122"/>
      <c r="CG127" s="122"/>
      <c r="CH127" s="122"/>
      <c r="CI127" s="122"/>
      <c r="CJ127" s="122"/>
      <c r="CK127" s="122"/>
      <c r="CL127" s="122"/>
      <c r="CM127" s="122"/>
      <c r="CN127" s="122"/>
      <c r="CO127" s="122"/>
      <c r="CP127" s="122"/>
      <c r="CQ127" s="122"/>
      <c r="CR127" s="122"/>
    </row>
    <row r="128" spans="1:109" s="99" customFormat="1">
      <c r="A128" s="182"/>
      <c r="B128" s="183">
        <v>346</v>
      </c>
      <c r="C128" s="152" t="s">
        <v>9</v>
      </c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8"/>
      <c r="O128" s="128"/>
      <c r="P128" s="128"/>
      <c r="Q128" s="128"/>
      <c r="R128" s="128"/>
      <c r="S128" s="128"/>
      <c r="T128" s="128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77" t="s">
        <v>78</v>
      </c>
      <c r="AE128" s="113"/>
      <c r="AF128" s="113"/>
      <c r="AG128" s="113"/>
      <c r="AH128" s="113"/>
      <c r="AI128" s="113"/>
      <c r="AJ128" s="113"/>
      <c r="AK128" s="113"/>
      <c r="AL128" s="113"/>
      <c r="AM128" s="113"/>
      <c r="AN128" s="113"/>
      <c r="AO128" s="113"/>
      <c r="AP128" s="113"/>
      <c r="AQ128" s="113"/>
      <c r="AR128" s="113"/>
      <c r="AS128" s="113"/>
      <c r="AT128" s="113"/>
      <c r="AU128" s="113"/>
      <c r="AV128" s="113"/>
      <c r="AW128" s="113"/>
      <c r="AX128" s="113"/>
      <c r="AY128" s="113"/>
      <c r="AZ128" s="113"/>
      <c r="BA128" s="184"/>
      <c r="BB128" s="564"/>
      <c r="BC128" s="184"/>
      <c r="BD128" s="184"/>
      <c r="BE128" s="184"/>
      <c r="BF128" s="184"/>
      <c r="BG128" s="184"/>
      <c r="BH128" s="184"/>
      <c r="BI128" s="205">
        <f>BI129+BI132+BI135</f>
        <v>27730</v>
      </c>
      <c r="BJ128" s="205">
        <f>BJ129+BJ132+BJ135</f>
        <v>0</v>
      </c>
      <c r="BK128" s="205">
        <f>BK129+BK132+BK135</f>
        <v>0</v>
      </c>
      <c r="BL128" s="205">
        <f>BL129+BL132+BL135</f>
        <v>0</v>
      </c>
      <c r="BM128" s="147">
        <f t="shared" si="159"/>
        <v>27730</v>
      </c>
      <c r="BN128" s="96"/>
      <c r="BO128" s="96"/>
      <c r="BP128" s="96"/>
      <c r="BQ128" s="96"/>
      <c r="BR128" s="96"/>
      <c r="BS128" s="96"/>
      <c r="BT128" s="96"/>
      <c r="BU128" s="96"/>
      <c r="BV128" s="96"/>
      <c r="BW128" s="96"/>
      <c r="BX128" s="96"/>
      <c r="BY128" s="96"/>
      <c r="BZ128" s="96"/>
      <c r="CA128" s="96"/>
      <c r="CB128" s="96"/>
      <c r="CC128" s="96"/>
      <c r="CD128" s="96"/>
      <c r="CE128" s="96"/>
      <c r="CF128" s="96"/>
      <c r="CG128" s="96"/>
      <c r="CH128" s="96"/>
      <c r="CI128" s="96"/>
      <c r="CJ128" s="96"/>
      <c r="CK128" s="96"/>
      <c r="CL128" s="96"/>
      <c r="CM128" s="96"/>
      <c r="CN128" s="96"/>
      <c r="CO128" s="96"/>
      <c r="CP128" s="96"/>
      <c r="CQ128" s="96"/>
      <c r="CR128" s="96"/>
    </row>
    <row r="129" spans="1:96" s="99" customFormat="1" ht="25.5">
      <c r="A129" s="182"/>
      <c r="B129" s="183"/>
      <c r="C129" s="565" t="s">
        <v>173</v>
      </c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430"/>
      <c r="AE129" s="128"/>
      <c r="AF129" s="128"/>
      <c r="AG129" s="128"/>
      <c r="AH129" s="128"/>
      <c r="AI129" s="128"/>
      <c r="AJ129" s="128"/>
      <c r="AK129" s="128"/>
      <c r="AL129" s="128"/>
      <c r="AM129" s="128"/>
      <c r="AN129" s="128"/>
      <c r="AO129" s="128"/>
      <c r="AP129" s="128"/>
      <c r="AQ129" s="128"/>
      <c r="AR129" s="128"/>
      <c r="AS129" s="128"/>
      <c r="AT129" s="128"/>
      <c r="AU129" s="128"/>
      <c r="AV129" s="128"/>
      <c r="AW129" s="128"/>
      <c r="AX129" s="128"/>
      <c r="AY129" s="128"/>
      <c r="AZ129" s="128"/>
      <c r="BA129" s="564"/>
      <c r="BB129" s="564"/>
      <c r="BC129" s="564"/>
      <c r="BD129" s="564"/>
      <c r="BE129" s="564"/>
      <c r="BF129" s="564"/>
      <c r="BG129" s="564"/>
      <c r="BH129" s="564"/>
      <c r="BI129" s="211">
        <f>BI130+BI131</f>
        <v>2200</v>
      </c>
      <c r="BJ129" s="211">
        <f t="shared" ref="BJ129:BL129" si="162">BJ130+BJ131</f>
        <v>0</v>
      </c>
      <c r="BK129" s="211">
        <f t="shared" si="162"/>
        <v>0</v>
      </c>
      <c r="BL129" s="211">
        <f t="shared" si="162"/>
        <v>0</v>
      </c>
      <c r="BM129" s="147">
        <f t="shared" si="159"/>
        <v>2200</v>
      </c>
      <c r="BN129" s="96"/>
      <c r="BO129" s="96"/>
      <c r="BP129" s="96"/>
      <c r="BQ129" s="96"/>
      <c r="BR129" s="96"/>
      <c r="BS129" s="96"/>
      <c r="BT129" s="96"/>
      <c r="BU129" s="96"/>
      <c r="BV129" s="96"/>
      <c r="BW129" s="96"/>
      <c r="BX129" s="96"/>
      <c r="BY129" s="96"/>
      <c r="BZ129" s="96"/>
      <c r="CA129" s="96"/>
      <c r="CB129" s="96"/>
      <c r="CC129" s="96"/>
      <c r="CD129" s="96"/>
      <c r="CE129" s="96"/>
      <c r="CF129" s="96"/>
      <c r="CG129" s="96"/>
      <c r="CH129" s="96"/>
      <c r="CI129" s="96"/>
      <c r="CJ129" s="96"/>
      <c r="CK129" s="96"/>
      <c r="CL129" s="96"/>
      <c r="CM129" s="96"/>
      <c r="CN129" s="96"/>
      <c r="CO129" s="96"/>
      <c r="CP129" s="96"/>
      <c r="CQ129" s="96"/>
      <c r="CR129" s="96"/>
    </row>
    <row r="130" spans="1:96" s="99" customFormat="1">
      <c r="A130" s="182"/>
      <c r="B130" s="183"/>
      <c r="C130" s="566" t="s">
        <v>268</v>
      </c>
      <c r="D130" s="128"/>
      <c r="E130" s="128"/>
      <c r="F130" s="128"/>
      <c r="G130" s="128"/>
      <c r="H130" s="128"/>
      <c r="I130" s="128"/>
      <c r="J130" s="128"/>
      <c r="K130" s="128"/>
      <c r="L130" s="128"/>
      <c r="M130" s="128"/>
      <c r="N130" s="128"/>
      <c r="O130" s="128"/>
      <c r="P130" s="128"/>
      <c r="Q130" s="128"/>
      <c r="R130" s="128"/>
      <c r="S130" s="128"/>
      <c r="T130" s="128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430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28"/>
      <c r="AO130" s="128"/>
      <c r="AP130" s="128"/>
      <c r="AQ130" s="128"/>
      <c r="AR130" s="128"/>
      <c r="AS130" s="128"/>
      <c r="AT130" s="128"/>
      <c r="AU130" s="128"/>
      <c r="AV130" s="128"/>
      <c r="AW130" s="128"/>
      <c r="AX130" s="128"/>
      <c r="AY130" s="128"/>
      <c r="AZ130" s="128"/>
      <c r="BA130" s="564"/>
      <c r="BB130" s="564"/>
      <c r="BC130" s="564"/>
      <c r="BD130" s="564"/>
      <c r="BE130" s="564"/>
      <c r="BF130" s="564"/>
      <c r="BG130" s="564"/>
      <c r="BH130" s="564"/>
      <c r="BI130" s="460">
        <v>2000</v>
      </c>
      <c r="BJ130" s="460"/>
      <c r="BK130" s="460"/>
      <c r="BL130" s="460">
        <v>0</v>
      </c>
      <c r="BM130" s="250">
        <f t="shared" si="159"/>
        <v>2000</v>
      </c>
      <c r="BN130" s="96"/>
      <c r="BO130" s="96"/>
      <c r="BP130" s="96"/>
      <c r="BQ130" s="96"/>
      <c r="BR130" s="96"/>
      <c r="BS130" s="96"/>
      <c r="BT130" s="96"/>
      <c r="BU130" s="96"/>
      <c r="BV130" s="96"/>
      <c r="BW130" s="96"/>
      <c r="BX130" s="96"/>
      <c r="BY130" s="96"/>
      <c r="BZ130" s="96"/>
      <c r="CA130" s="96"/>
      <c r="CB130" s="96"/>
      <c r="CC130" s="96"/>
      <c r="CD130" s="96"/>
      <c r="CE130" s="96"/>
      <c r="CF130" s="96"/>
      <c r="CG130" s="96"/>
      <c r="CH130" s="96"/>
      <c r="CI130" s="96"/>
      <c r="CJ130" s="96"/>
      <c r="CK130" s="96"/>
      <c r="CL130" s="96"/>
      <c r="CM130" s="96"/>
      <c r="CN130" s="96"/>
      <c r="CO130" s="96"/>
      <c r="CP130" s="96"/>
      <c r="CQ130" s="96"/>
      <c r="CR130" s="96"/>
    </row>
    <row r="131" spans="1:96" s="99" customFormat="1" ht="21" customHeight="1">
      <c r="A131" s="182"/>
      <c r="B131" s="183"/>
      <c r="C131" s="566" t="s">
        <v>269</v>
      </c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430"/>
      <c r="AE131" s="128"/>
      <c r="AF131" s="128"/>
      <c r="AG131" s="128"/>
      <c r="AH131" s="128"/>
      <c r="AI131" s="128"/>
      <c r="AJ131" s="128"/>
      <c r="AK131" s="128"/>
      <c r="AL131" s="128"/>
      <c r="AM131" s="128"/>
      <c r="AN131" s="128"/>
      <c r="AO131" s="128"/>
      <c r="AP131" s="128"/>
      <c r="AQ131" s="128"/>
      <c r="AR131" s="128"/>
      <c r="AS131" s="128"/>
      <c r="AT131" s="128"/>
      <c r="AU131" s="128"/>
      <c r="AV131" s="128"/>
      <c r="AW131" s="128"/>
      <c r="AX131" s="128"/>
      <c r="AY131" s="128"/>
      <c r="AZ131" s="128"/>
      <c r="BA131" s="564"/>
      <c r="BB131" s="564"/>
      <c r="BC131" s="564"/>
      <c r="BD131" s="564"/>
      <c r="BE131" s="564"/>
      <c r="BF131" s="564"/>
      <c r="BG131" s="564"/>
      <c r="BH131" s="564"/>
      <c r="BI131" s="460">
        <v>200</v>
      </c>
      <c r="BJ131" s="460"/>
      <c r="BK131" s="460"/>
      <c r="BL131" s="460">
        <v>0</v>
      </c>
      <c r="BM131" s="250">
        <f t="shared" si="159"/>
        <v>200</v>
      </c>
      <c r="BN131" s="96"/>
      <c r="BO131" s="96"/>
      <c r="BP131" s="96"/>
      <c r="BQ131" s="96"/>
      <c r="BR131" s="96"/>
      <c r="BS131" s="96"/>
      <c r="BT131" s="96"/>
      <c r="BU131" s="96"/>
      <c r="BV131" s="96"/>
      <c r="BW131" s="96"/>
      <c r="BX131" s="96"/>
      <c r="BY131" s="96"/>
      <c r="BZ131" s="96"/>
      <c r="CA131" s="96"/>
      <c r="CB131" s="96"/>
      <c r="CC131" s="96"/>
      <c r="CD131" s="96"/>
      <c r="CE131" s="96"/>
      <c r="CF131" s="96"/>
      <c r="CG131" s="96"/>
      <c r="CH131" s="96"/>
      <c r="CI131" s="96"/>
      <c r="CJ131" s="96"/>
      <c r="CK131" s="96"/>
      <c r="CL131" s="96"/>
      <c r="CM131" s="96"/>
      <c r="CN131" s="96"/>
      <c r="CO131" s="96"/>
      <c r="CP131" s="96"/>
      <c r="CQ131" s="96"/>
      <c r="CR131" s="96"/>
    </row>
    <row r="132" spans="1:96" s="99" customFormat="1" ht="29.25" customHeight="1">
      <c r="A132" s="182"/>
      <c r="B132" s="183"/>
      <c r="C132" s="565" t="s">
        <v>174</v>
      </c>
      <c r="D132" s="128"/>
      <c r="E132" s="128"/>
      <c r="F132" s="128"/>
      <c r="G132" s="128"/>
      <c r="H132" s="128"/>
      <c r="I132" s="128"/>
      <c r="J132" s="128"/>
      <c r="K132" s="128"/>
      <c r="L132" s="128"/>
      <c r="M132" s="128"/>
      <c r="N132" s="128"/>
      <c r="O132" s="128"/>
      <c r="P132" s="128"/>
      <c r="Q132" s="128"/>
      <c r="R132" s="128"/>
      <c r="S132" s="128"/>
      <c r="T132" s="128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430"/>
      <c r="AE132" s="128"/>
      <c r="AF132" s="128"/>
      <c r="AG132" s="128"/>
      <c r="AH132" s="128"/>
      <c r="AI132" s="128"/>
      <c r="AJ132" s="128"/>
      <c r="AK132" s="128"/>
      <c r="AL132" s="128"/>
      <c r="AM132" s="128"/>
      <c r="AN132" s="128"/>
      <c r="AO132" s="128"/>
      <c r="AP132" s="128"/>
      <c r="AQ132" s="128"/>
      <c r="AR132" s="128"/>
      <c r="AS132" s="128"/>
      <c r="AT132" s="128"/>
      <c r="AU132" s="128"/>
      <c r="AV132" s="128"/>
      <c r="AW132" s="128"/>
      <c r="AX132" s="128"/>
      <c r="AY132" s="128"/>
      <c r="AZ132" s="128"/>
      <c r="BA132" s="564"/>
      <c r="BB132" s="564"/>
      <c r="BC132" s="564"/>
      <c r="BD132" s="564"/>
      <c r="BE132" s="564"/>
      <c r="BF132" s="564"/>
      <c r="BG132" s="564"/>
      <c r="BH132" s="564"/>
      <c r="BI132" s="205">
        <f>BI133+BI134</f>
        <v>3850</v>
      </c>
      <c r="BJ132" s="205">
        <f t="shared" ref="BJ132:BL132" si="163">BJ133+BJ134</f>
        <v>0</v>
      </c>
      <c r="BK132" s="205">
        <f t="shared" si="163"/>
        <v>0</v>
      </c>
      <c r="BL132" s="205">
        <f t="shared" si="163"/>
        <v>0</v>
      </c>
      <c r="BM132" s="147">
        <f t="shared" si="159"/>
        <v>3850</v>
      </c>
      <c r="BN132" s="96"/>
      <c r="BO132" s="96"/>
      <c r="BP132" s="96"/>
      <c r="BQ132" s="96"/>
      <c r="BR132" s="96"/>
      <c r="BS132" s="96"/>
      <c r="BT132" s="96"/>
      <c r="BU132" s="96"/>
      <c r="BV132" s="96"/>
      <c r="BW132" s="96"/>
      <c r="BX132" s="96"/>
      <c r="BY132" s="96"/>
      <c r="BZ132" s="96"/>
      <c r="CA132" s="96"/>
      <c r="CB132" s="96"/>
      <c r="CC132" s="96"/>
      <c r="CD132" s="96"/>
      <c r="CE132" s="96"/>
      <c r="CF132" s="96"/>
      <c r="CG132" s="96"/>
      <c r="CH132" s="96"/>
      <c r="CI132" s="96"/>
      <c r="CJ132" s="96"/>
      <c r="CK132" s="96"/>
      <c r="CL132" s="96"/>
      <c r="CM132" s="96"/>
      <c r="CN132" s="96"/>
      <c r="CO132" s="96"/>
      <c r="CP132" s="96"/>
      <c r="CQ132" s="96"/>
      <c r="CR132" s="96"/>
    </row>
    <row r="133" spans="1:96" s="99" customFormat="1" ht="16.5" customHeight="1">
      <c r="A133" s="182"/>
      <c r="B133" s="183"/>
      <c r="C133" s="566" t="s">
        <v>268</v>
      </c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430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28"/>
      <c r="AW133" s="128"/>
      <c r="AX133" s="128"/>
      <c r="AY133" s="128"/>
      <c r="AZ133" s="128"/>
      <c r="BA133" s="564"/>
      <c r="BB133" s="564"/>
      <c r="BC133" s="564"/>
      <c r="BD133" s="564"/>
      <c r="BE133" s="564"/>
      <c r="BF133" s="564"/>
      <c r="BG133" s="564"/>
      <c r="BH133" s="564"/>
      <c r="BI133" s="460">
        <v>1000</v>
      </c>
      <c r="BJ133" s="460"/>
      <c r="BK133" s="460"/>
      <c r="BL133" s="460">
        <v>0</v>
      </c>
      <c r="BM133" s="250">
        <f t="shared" si="159"/>
        <v>1000</v>
      </c>
      <c r="BN133" s="96"/>
      <c r="BO133" s="96"/>
      <c r="BP133" s="96"/>
      <c r="BQ133" s="96"/>
      <c r="BR133" s="96"/>
      <c r="BS133" s="96"/>
      <c r="BT133" s="96"/>
      <c r="BU133" s="96"/>
      <c r="BV133" s="96"/>
      <c r="BW133" s="96"/>
      <c r="BX133" s="96"/>
      <c r="BY133" s="96"/>
      <c r="BZ133" s="96"/>
      <c r="CA133" s="96"/>
      <c r="CB133" s="96"/>
      <c r="CC133" s="96"/>
      <c r="CD133" s="96"/>
      <c r="CE133" s="96"/>
      <c r="CF133" s="96"/>
      <c r="CG133" s="96"/>
      <c r="CH133" s="96"/>
      <c r="CI133" s="96"/>
      <c r="CJ133" s="96"/>
      <c r="CK133" s="96"/>
      <c r="CL133" s="96"/>
      <c r="CM133" s="96"/>
      <c r="CN133" s="96"/>
      <c r="CO133" s="96"/>
      <c r="CP133" s="96"/>
      <c r="CQ133" s="96"/>
      <c r="CR133" s="96"/>
    </row>
    <row r="134" spans="1:96" s="99" customFormat="1" ht="17.25" customHeight="1">
      <c r="A134" s="182"/>
      <c r="B134" s="183"/>
      <c r="C134" s="566" t="s">
        <v>270</v>
      </c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430"/>
      <c r="AE134" s="128"/>
      <c r="AF134" s="128"/>
      <c r="AG134" s="128"/>
      <c r="AH134" s="128"/>
      <c r="AI134" s="128"/>
      <c r="AJ134" s="128"/>
      <c r="AK134" s="128"/>
      <c r="AL134" s="128"/>
      <c r="AM134" s="128"/>
      <c r="AN134" s="128"/>
      <c r="AO134" s="128"/>
      <c r="AP134" s="128"/>
      <c r="AQ134" s="128"/>
      <c r="AR134" s="128"/>
      <c r="AS134" s="128"/>
      <c r="AT134" s="128"/>
      <c r="AU134" s="128"/>
      <c r="AV134" s="128"/>
      <c r="AW134" s="128"/>
      <c r="AX134" s="128"/>
      <c r="AY134" s="128"/>
      <c r="AZ134" s="128"/>
      <c r="BA134" s="564"/>
      <c r="BB134" s="564"/>
      <c r="BC134" s="564"/>
      <c r="BD134" s="564"/>
      <c r="BE134" s="564"/>
      <c r="BF134" s="564"/>
      <c r="BG134" s="564"/>
      <c r="BH134" s="564"/>
      <c r="BI134" s="460">
        <v>2850</v>
      </c>
      <c r="BJ134" s="460"/>
      <c r="BK134" s="460"/>
      <c r="BL134" s="460">
        <v>0</v>
      </c>
      <c r="BM134" s="250">
        <f t="shared" si="159"/>
        <v>2850</v>
      </c>
      <c r="BN134" s="96"/>
      <c r="BO134" s="96"/>
      <c r="BP134" s="96"/>
      <c r="BQ134" s="96"/>
      <c r="BR134" s="96"/>
      <c r="BS134" s="96"/>
      <c r="BT134" s="96"/>
      <c r="BU134" s="96"/>
      <c r="BV134" s="96"/>
      <c r="BW134" s="96"/>
      <c r="BX134" s="96"/>
      <c r="BY134" s="96"/>
      <c r="BZ134" s="96"/>
      <c r="CA134" s="96"/>
      <c r="CB134" s="96"/>
      <c r="CC134" s="96"/>
      <c r="CD134" s="96"/>
      <c r="CE134" s="96"/>
      <c r="CF134" s="96"/>
      <c r="CG134" s="96"/>
      <c r="CH134" s="96"/>
      <c r="CI134" s="96"/>
      <c r="CJ134" s="96"/>
      <c r="CK134" s="96"/>
      <c r="CL134" s="96"/>
      <c r="CM134" s="96"/>
      <c r="CN134" s="96"/>
      <c r="CO134" s="96"/>
      <c r="CP134" s="96"/>
      <c r="CQ134" s="96"/>
      <c r="CR134" s="96"/>
    </row>
    <row r="135" spans="1:96" s="99" customFormat="1" ht="29.25" customHeight="1">
      <c r="A135" s="182"/>
      <c r="B135" s="183"/>
      <c r="C135" s="567" t="s">
        <v>170</v>
      </c>
      <c r="D135" s="128"/>
      <c r="E135" s="128"/>
      <c r="F135" s="128"/>
      <c r="G135" s="128"/>
      <c r="H135" s="128"/>
      <c r="I135" s="128"/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430"/>
      <c r="AE135" s="128"/>
      <c r="AF135" s="128"/>
      <c r="AG135" s="128"/>
      <c r="AH135" s="128"/>
      <c r="AI135" s="128"/>
      <c r="AJ135" s="128"/>
      <c r="AK135" s="128"/>
      <c r="AL135" s="128"/>
      <c r="AM135" s="128"/>
      <c r="AN135" s="128"/>
      <c r="AO135" s="128"/>
      <c r="AP135" s="128"/>
      <c r="AQ135" s="128"/>
      <c r="AR135" s="128"/>
      <c r="AS135" s="128"/>
      <c r="AT135" s="128"/>
      <c r="AU135" s="128"/>
      <c r="AV135" s="128"/>
      <c r="AW135" s="128"/>
      <c r="AX135" s="128"/>
      <c r="AY135" s="128"/>
      <c r="AZ135" s="128"/>
      <c r="BA135" s="564"/>
      <c r="BB135" s="564"/>
      <c r="BC135" s="564"/>
      <c r="BD135" s="564"/>
      <c r="BE135" s="564"/>
      <c r="BF135" s="564"/>
      <c r="BG135" s="564"/>
      <c r="BH135" s="564"/>
      <c r="BI135" s="459">
        <v>21680</v>
      </c>
      <c r="BJ135" s="459"/>
      <c r="BK135" s="459"/>
      <c r="BL135" s="459">
        <v>0</v>
      </c>
      <c r="BM135" s="250">
        <f t="shared" si="159"/>
        <v>21680</v>
      </c>
      <c r="BN135" s="172"/>
      <c r="BO135" s="172"/>
      <c r="BP135" s="96"/>
      <c r="BQ135" s="96"/>
      <c r="BR135" s="96"/>
      <c r="BS135" s="96"/>
      <c r="BT135" s="96"/>
      <c r="BU135" s="96"/>
      <c r="BV135" s="96"/>
      <c r="BW135" s="96"/>
      <c r="BX135" s="96"/>
      <c r="BY135" s="96"/>
      <c r="BZ135" s="96"/>
      <c r="CA135" s="96"/>
      <c r="CB135" s="96"/>
      <c r="CC135" s="96"/>
      <c r="CD135" s="96"/>
      <c r="CE135" s="96"/>
      <c r="CF135" s="96"/>
      <c r="CG135" s="96"/>
      <c r="CH135" s="96"/>
      <c r="CI135" s="96"/>
      <c r="CJ135" s="96"/>
      <c r="CK135" s="96"/>
      <c r="CL135" s="96"/>
      <c r="CM135" s="96"/>
      <c r="CN135" s="96"/>
      <c r="CO135" s="96"/>
      <c r="CP135" s="96"/>
      <c r="CQ135" s="96"/>
      <c r="CR135" s="96"/>
    </row>
    <row r="136" spans="1:96" s="99" customFormat="1" ht="21" customHeight="1">
      <c r="A136" s="251"/>
      <c r="B136" s="274">
        <v>349</v>
      </c>
      <c r="C136" s="203" t="s">
        <v>9</v>
      </c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77" t="s">
        <v>78</v>
      </c>
      <c r="AE136" s="113"/>
      <c r="AF136" s="113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84"/>
      <c r="BB136" s="184"/>
      <c r="BC136" s="184"/>
      <c r="BD136" s="184"/>
      <c r="BE136" s="184"/>
      <c r="BF136" s="184"/>
      <c r="BG136" s="184"/>
      <c r="BH136" s="184"/>
      <c r="BI136" s="211">
        <f>BI137+BI141+BI144+BI145+BI146</f>
        <v>51600</v>
      </c>
      <c r="BJ136" s="211">
        <f>BJ137+BJ141+BJ144+BJ145+BJ146</f>
        <v>0</v>
      </c>
      <c r="BK136" s="211">
        <f>BK137+BK141+BK144+BK145+BK146</f>
        <v>0</v>
      </c>
      <c r="BL136" s="211">
        <f>BL137+BL141+BL144+BL145+BL146</f>
        <v>0</v>
      </c>
      <c r="BM136" s="147">
        <f t="shared" si="159"/>
        <v>51600</v>
      </c>
      <c r="BN136" s="172"/>
      <c r="BO136" s="172"/>
      <c r="BP136" s="96"/>
      <c r="BQ136" s="96"/>
      <c r="BR136" s="96"/>
      <c r="BS136" s="96"/>
      <c r="BT136" s="96"/>
      <c r="BU136" s="96"/>
      <c r="BV136" s="96"/>
      <c r="BW136" s="96"/>
      <c r="BX136" s="96"/>
      <c r="BY136" s="96"/>
      <c r="BZ136" s="96"/>
      <c r="CA136" s="96"/>
      <c r="CB136" s="96"/>
      <c r="CC136" s="96"/>
      <c r="CD136" s="96"/>
      <c r="CE136" s="96"/>
      <c r="CF136" s="96"/>
      <c r="CG136" s="96"/>
      <c r="CH136" s="96"/>
      <c r="CI136" s="96"/>
      <c r="CJ136" s="96"/>
      <c r="CK136" s="96"/>
      <c r="CL136" s="96"/>
      <c r="CM136" s="96"/>
      <c r="CN136" s="96"/>
      <c r="CO136" s="96"/>
      <c r="CP136" s="96"/>
      <c r="CQ136" s="96"/>
      <c r="CR136" s="96"/>
    </row>
    <row r="137" spans="1:96" s="99" customFormat="1" ht="21" customHeight="1">
      <c r="A137" s="201"/>
      <c r="B137" s="275"/>
      <c r="C137" s="203" t="s">
        <v>173</v>
      </c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430"/>
      <c r="AE137" s="128"/>
      <c r="AF137" s="128"/>
      <c r="AG137" s="128"/>
      <c r="AH137" s="128"/>
      <c r="AI137" s="128"/>
      <c r="AJ137" s="128"/>
      <c r="AK137" s="128"/>
      <c r="AL137" s="128"/>
      <c r="AM137" s="128"/>
      <c r="AN137" s="128"/>
      <c r="AO137" s="128"/>
      <c r="AP137" s="128"/>
      <c r="AQ137" s="128"/>
      <c r="AR137" s="128"/>
      <c r="AS137" s="128"/>
      <c r="AT137" s="128"/>
      <c r="AU137" s="128"/>
      <c r="AV137" s="128"/>
      <c r="AW137" s="128"/>
      <c r="AX137" s="128"/>
      <c r="AY137" s="128"/>
      <c r="AZ137" s="128"/>
      <c r="BA137" s="564"/>
      <c r="BB137" s="564"/>
      <c r="BC137" s="564"/>
      <c r="BD137" s="564"/>
      <c r="BE137" s="564"/>
      <c r="BF137" s="564"/>
      <c r="BG137" s="564"/>
      <c r="BH137" s="564"/>
      <c r="BI137" s="211">
        <f>BI138+BI139+BI140</f>
        <v>12000</v>
      </c>
      <c r="BJ137" s="211">
        <f t="shared" ref="BJ137:BL137" si="164">BJ138+BJ139+BJ140</f>
        <v>0</v>
      </c>
      <c r="BK137" s="211">
        <f t="shared" si="164"/>
        <v>0</v>
      </c>
      <c r="BL137" s="211">
        <f t="shared" si="164"/>
        <v>0</v>
      </c>
      <c r="BM137" s="147">
        <f t="shared" si="159"/>
        <v>12000</v>
      </c>
      <c r="BN137" s="172"/>
      <c r="BO137" s="172"/>
      <c r="BP137" s="96"/>
      <c r="BQ137" s="96"/>
      <c r="BR137" s="96"/>
      <c r="BS137" s="96"/>
      <c r="BT137" s="96"/>
      <c r="BU137" s="96"/>
      <c r="BV137" s="96"/>
      <c r="BW137" s="96"/>
      <c r="BX137" s="96"/>
      <c r="BY137" s="96"/>
      <c r="BZ137" s="96"/>
      <c r="CA137" s="96"/>
      <c r="CB137" s="96"/>
      <c r="CC137" s="96"/>
      <c r="CD137" s="96"/>
      <c r="CE137" s="96"/>
      <c r="CF137" s="96"/>
      <c r="CG137" s="96"/>
      <c r="CH137" s="96"/>
      <c r="CI137" s="96"/>
      <c r="CJ137" s="96"/>
      <c r="CK137" s="96"/>
      <c r="CL137" s="96"/>
      <c r="CM137" s="96"/>
      <c r="CN137" s="96"/>
      <c r="CO137" s="96"/>
      <c r="CP137" s="96"/>
      <c r="CQ137" s="96"/>
      <c r="CR137" s="96"/>
    </row>
    <row r="138" spans="1:96" s="99" customFormat="1" ht="21" customHeight="1">
      <c r="A138" s="201"/>
      <c r="B138" s="275"/>
      <c r="C138" s="566" t="s">
        <v>267</v>
      </c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430"/>
      <c r="AE138" s="128"/>
      <c r="AF138" s="128"/>
      <c r="AG138" s="128"/>
      <c r="AH138" s="128"/>
      <c r="AI138" s="128"/>
      <c r="AJ138" s="128"/>
      <c r="AK138" s="128"/>
      <c r="AL138" s="128"/>
      <c r="AM138" s="128"/>
      <c r="AN138" s="128"/>
      <c r="AO138" s="128"/>
      <c r="AP138" s="128"/>
      <c r="AQ138" s="128"/>
      <c r="AR138" s="128"/>
      <c r="AS138" s="128"/>
      <c r="AT138" s="128"/>
      <c r="AU138" s="128"/>
      <c r="AV138" s="128"/>
      <c r="AW138" s="128"/>
      <c r="AX138" s="128"/>
      <c r="AY138" s="128"/>
      <c r="AZ138" s="128"/>
      <c r="BA138" s="564"/>
      <c r="BB138" s="564"/>
      <c r="BC138" s="564"/>
      <c r="BD138" s="564"/>
      <c r="BE138" s="564"/>
      <c r="BF138" s="564"/>
      <c r="BG138" s="564"/>
      <c r="BH138" s="564"/>
      <c r="BI138" s="460">
        <v>2400</v>
      </c>
      <c r="BJ138" s="460"/>
      <c r="BK138" s="460"/>
      <c r="BL138" s="460">
        <v>0</v>
      </c>
      <c r="BM138" s="250">
        <f t="shared" si="159"/>
        <v>2400</v>
      </c>
      <c r="BN138" s="172"/>
      <c r="BO138" s="172"/>
      <c r="BP138" s="96"/>
      <c r="BQ138" s="96"/>
      <c r="BR138" s="96"/>
      <c r="BS138" s="96"/>
      <c r="BT138" s="96"/>
      <c r="BU138" s="96"/>
      <c r="BV138" s="96"/>
      <c r="BW138" s="96"/>
      <c r="BX138" s="96"/>
      <c r="BY138" s="96"/>
      <c r="BZ138" s="96"/>
      <c r="CA138" s="96"/>
      <c r="CB138" s="96"/>
      <c r="CC138" s="96"/>
      <c r="CD138" s="96"/>
      <c r="CE138" s="96"/>
      <c r="CF138" s="96"/>
      <c r="CG138" s="96"/>
      <c r="CH138" s="96"/>
      <c r="CI138" s="96"/>
      <c r="CJ138" s="96"/>
      <c r="CK138" s="96"/>
      <c r="CL138" s="96"/>
      <c r="CM138" s="96"/>
      <c r="CN138" s="96"/>
      <c r="CO138" s="96"/>
      <c r="CP138" s="96"/>
      <c r="CQ138" s="96"/>
      <c r="CR138" s="96"/>
    </row>
    <row r="139" spans="1:96" s="99" customFormat="1" ht="21" customHeight="1">
      <c r="A139" s="201"/>
      <c r="B139" s="275"/>
      <c r="C139" s="566" t="s">
        <v>271</v>
      </c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430"/>
      <c r="AE139" s="128"/>
      <c r="AF139" s="128"/>
      <c r="AG139" s="128"/>
      <c r="AH139" s="128"/>
      <c r="AI139" s="128"/>
      <c r="AJ139" s="128"/>
      <c r="AK139" s="128"/>
      <c r="AL139" s="128"/>
      <c r="AM139" s="128"/>
      <c r="AN139" s="128"/>
      <c r="AO139" s="128"/>
      <c r="AP139" s="128"/>
      <c r="AQ139" s="128"/>
      <c r="AR139" s="128"/>
      <c r="AS139" s="128"/>
      <c r="AT139" s="128"/>
      <c r="AU139" s="128"/>
      <c r="AV139" s="128"/>
      <c r="AW139" s="128"/>
      <c r="AX139" s="128"/>
      <c r="AY139" s="128"/>
      <c r="AZ139" s="128"/>
      <c r="BA139" s="564"/>
      <c r="BB139" s="564"/>
      <c r="BC139" s="564"/>
      <c r="BD139" s="564"/>
      <c r="BE139" s="564"/>
      <c r="BF139" s="564"/>
      <c r="BG139" s="564"/>
      <c r="BH139" s="564"/>
      <c r="BI139" s="460">
        <v>4200</v>
      </c>
      <c r="BJ139" s="460"/>
      <c r="BK139" s="460"/>
      <c r="BL139" s="460">
        <v>0</v>
      </c>
      <c r="BM139" s="250">
        <f t="shared" si="159"/>
        <v>4200</v>
      </c>
      <c r="BN139" s="172"/>
      <c r="BO139" s="172"/>
      <c r="BP139" s="96"/>
      <c r="BQ139" s="96"/>
      <c r="BR139" s="96"/>
      <c r="BS139" s="96"/>
      <c r="BT139" s="96"/>
      <c r="BU139" s="96"/>
      <c r="BV139" s="96"/>
      <c r="BW139" s="96"/>
      <c r="BX139" s="96"/>
      <c r="BY139" s="96"/>
      <c r="BZ139" s="96"/>
      <c r="CA139" s="96"/>
      <c r="CB139" s="96"/>
      <c r="CC139" s="96"/>
      <c r="CD139" s="96"/>
      <c r="CE139" s="96"/>
      <c r="CF139" s="96"/>
      <c r="CG139" s="96"/>
      <c r="CH139" s="96"/>
      <c r="CI139" s="96"/>
      <c r="CJ139" s="96"/>
      <c r="CK139" s="96"/>
      <c r="CL139" s="96"/>
      <c r="CM139" s="96"/>
      <c r="CN139" s="96"/>
      <c r="CO139" s="96"/>
      <c r="CP139" s="96"/>
      <c r="CQ139" s="96"/>
      <c r="CR139" s="96"/>
    </row>
    <row r="140" spans="1:96" s="99" customFormat="1" ht="31.5" customHeight="1">
      <c r="A140" s="201"/>
      <c r="B140" s="275"/>
      <c r="C140" s="566" t="s">
        <v>266</v>
      </c>
      <c r="D140" s="128"/>
      <c r="E140" s="128"/>
      <c r="F140" s="128"/>
      <c r="G140" s="128"/>
      <c r="H140" s="128"/>
      <c r="I140" s="128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128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430"/>
      <c r="AE140" s="128"/>
      <c r="AF140" s="128"/>
      <c r="AG140" s="128"/>
      <c r="AH140" s="128"/>
      <c r="AI140" s="128"/>
      <c r="AJ140" s="128"/>
      <c r="AK140" s="128"/>
      <c r="AL140" s="128"/>
      <c r="AM140" s="128"/>
      <c r="AN140" s="128"/>
      <c r="AO140" s="128"/>
      <c r="AP140" s="128"/>
      <c r="AQ140" s="128"/>
      <c r="AR140" s="128"/>
      <c r="AS140" s="128"/>
      <c r="AT140" s="128"/>
      <c r="AU140" s="128"/>
      <c r="AV140" s="128"/>
      <c r="AW140" s="128"/>
      <c r="AX140" s="128"/>
      <c r="AY140" s="128"/>
      <c r="AZ140" s="128"/>
      <c r="BA140" s="564"/>
      <c r="BB140" s="564"/>
      <c r="BC140" s="564"/>
      <c r="BD140" s="564"/>
      <c r="BE140" s="564"/>
      <c r="BF140" s="564"/>
      <c r="BG140" s="564"/>
      <c r="BH140" s="564"/>
      <c r="BI140" s="460">
        <v>5400</v>
      </c>
      <c r="BJ140" s="460"/>
      <c r="BK140" s="460"/>
      <c r="BL140" s="460">
        <v>0</v>
      </c>
      <c r="BM140" s="250">
        <f t="shared" si="159"/>
        <v>5400</v>
      </c>
      <c r="BN140" s="172"/>
      <c r="BO140" s="172"/>
      <c r="BP140" s="96"/>
      <c r="BQ140" s="96"/>
      <c r="BR140" s="96"/>
      <c r="BS140" s="96"/>
      <c r="BT140" s="96"/>
      <c r="BU140" s="96"/>
      <c r="BV140" s="96"/>
      <c r="BW140" s="96"/>
      <c r="BX140" s="96"/>
      <c r="BY140" s="96"/>
      <c r="BZ140" s="96"/>
      <c r="CA140" s="96"/>
      <c r="CB140" s="96"/>
      <c r="CC140" s="96"/>
      <c r="CD140" s="96"/>
      <c r="CE140" s="96"/>
      <c r="CF140" s="96"/>
      <c r="CG140" s="96"/>
      <c r="CH140" s="96"/>
      <c r="CI140" s="96"/>
      <c r="CJ140" s="96"/>
      <c r="CK140" s="96"/>
      <c r="CL140" s="96"/>
      <c r="CM140" s="96"/>
      <c r="CN140" s="96"/>
      <c r="CO140" s="96"/>
      <c r="CP140" s="96"/>
      <c r="CQ140" s="96"/>
      <c r="CR140" s="96"/>
    </row>
    <row r="141" spans="1:96" s="99" customFormat="1" ht="30" customHeight="1">
      <c r="A141" s="201"/>
      <c r="B141" s="275"/>
      <c r="C141" s="186" t="s">
        <v>174</v>
      </c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  <c r="AA141" s="113"/>
      <c r="AB141" s="113"/>
      <c r="AC141" s="113"/>
      <c r="AD141" s="177"/>
      <c r="AE141" s="113"/>
      <c r="AF141" s="113"/>
      <c r="AG141" s="113"/>
      <c r="AH141" s="113"/>
      <c r="AI141" s="113"/>
      <c r="AJ141" s="113"/>
      <c r="AK141" s="113"/>
      <c r="AL141" s="113"/>
      <c r="AM141" s="113"/>
      <c r="AN141" s="113"/>
      <c r="AO141" s="113"/>
      <c r="AP141" s="113"/>
      <c r="AQ141" s="113"/>
      <c r="AR141" s="113"/>
      <c r="AS141" s="113"/>
      <c r="AT141" s="113"/>
      <c r="AU141" s="113"/>
      <c r="AV141" s="113"/>
      <c r="AW141" s="113"/>
      <c r="AX141" s="113"/>
      <c r="AY141" s="113"/>
      <c r="AZ141" s="113"/>
      <c r="BA141" s="184"/>
      <c r="BB141" s="184"/>
      <c r="BC141" s="184"/>
      <c r="BD141" s="184"/>
      <c r="BE141" s="184"/>
      <c r="BF141" s="184"/>
      <c r="BG141" s="184"/>
      <c r="BH141" s="184"/>
      <c r="BI141" s="211">
        <f>BI142+BI143</f>
        <v>4800</v>
      </c>
      <c r="BJ141" s="211">
        <f t="shared" ref="BJ141:BL141" si="165">BJ142+BJ143</f>
        <v>0</v>
      </c>
      <c r="BK141" s="211">
        <f t="shared" si="165"/>
        <v>0</v>
      </c>
      <c r="BL141" s="211">
        <f t="shared" si="165"/>
        <v>0</v>
      </c>
      <c r="BM141" s="147">
        <f t="shared" si="159"/>
        <v>4800</v>
      </c>
      <c r="BN141" s="172"/>
      <c r="BO141" s="172"/>
      <c r="BP141" s="96"/>
      <c r="BQ141" s="96"/>
      <c r="BR141" s="96"/>
      <c r="BS141" s="96"/>
      <c r="BT141" s="96"/>
      <c r="BU141" s="96"/>
      <c r="BV141" s="96"/>
      <c r="BW141" s="96"/>
      <c r="BX141" s="96"/>
      <c r="BY141" s="96"/>
      <c r="BZ141" s="96"/>
      <c r="CA141" s="96"/>
      <c r="CB141" s="96"/>
      <c r="CC141" s="96"/>
      <c r="CD141" s="96"/>
      <c r="CE141" s="96"/>
      <c r="CF141" s="96"/>
      <c r="CG141" s="96"/>
      <c r="CH141" s="96"/>
      <c r="CI141" s="96"/>
      <c r="CJ141" s="96"/>
      <c r="CK141" s="96"/>
      <c r="CL141" s="96"/>
      <c r="CM141" s="96"/>
      <c r="CN141" s="96"/>
      <c r="CO141" s="96"/>
      <c r="CP141" s="96"/>
      <c r="CQ141" s="96"/>
      <c r="CR141" s="96"/>
    </row>
    <row r="142" spans="1:96" s="99" customFormat="1">
      <c r="A142" s="201"/>
      <c r="B142" s="275"/>
      <c r="C142" s="566" t="s">
        <v>272</v>
      </c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128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430"/>
      <c r="AE142" s="128"/>
      <c r="AF142" s="128"/>
      <c r="AG142" s="128"/>
      <c r="AH142" s="128"/>
      <c r="AI142" s="128"/>
      <c r="AJ142" s="128"/>
      <c r="AK142" s="128"/>
      <c r="AL142" s="128"/>
      <c r="AM142" s="128"/>
      <c r="AN142" s="128"/>
      <c r="AO142" s="128"/>
      <c r="AP142" s="128"/>
      <c r="AQ142" s="128"/>
      <c r="AR142" s="128"/>
      <c r="AS142" s="128"/>
      <c r="AT142" s="128"/>
      <c r="AU142" s="128"/>
      <c r="AV142" s="128"/>
      <c r="AW142" s="128"/>
      <c r="AX142" s="128"/>
      <c r="AY142" s="128"/>
      <c r="AZ142" s="128"/>
      <c r="BA142" s="564"/>
      <c r="BB142" s="564"/>
      <c r="BC142" s="564"/>
      <c r="BD142" s="564"/>
      <c r="BE142" s="564"/>
      <c r="BF142" s="564"/>
      <c r="BG142" s="564"/>
      <c r="BH142" s="564"/>
      <c r="BI142" s="460">
        <v>2400</v>
      </c>
      <c r="BJ142" s="460"/>
      <c r="BK142" s="460"/>
      <c r="BL142" s="460">
        <v>0</v>
      </c>
      <c r="BM142" s="250">
        <f t="shared" si="159"/>
        <v>2400</v>
      </c>
      <c r="BN142" s="172"/>
      <c r="BO142" s="172"/>
      <c r="BP142" s="96"/>
      <c r="BQ142" s="96"/>
      <c r="BR142" s="96"/>
      <c r="BS142" s="96"/>
      <c r="BT142" s="96"/>
      <c r="BU142" s="96"/>
      <c r="BV142" s="96"/>
      <c r="BW142" s="96"/>
      <c r="BX142" s="96"/>
      <c r="BY142" s="96"/>
      <c r="BZ142" s="96"/>
      <c r="CA142" s="96"/>
      <c r="CB142" s="96"/>
      <c r="CC142" s="96"/>
      <c r="CD142" s="96"/>
      <c r="CE142" s="96"/>
      <c r="CF142" s="96"/>
      <c r="CG142" s="96"/>
      <c r="CH142" s="96"/>
      <c r="CI142" s="96"/>
      <c r="CJ142" s="96"/>
      <c r="CK142" s="96"/>
      <c r="CL142" s="96"/>
      <c r="CM142" s="96"/>
      <c r="CN142" s="96"/>
      <c r="CO142" s="96"/>
      <c r="CP142" s="96"/>
      <c r="CQ142" s="96"/>
      <c r="CR142" s="96"/>
    </row>
    <row r="143" spans="1:96" s="99" customFormat="1" ht="21" customHeight="1">
      <c r="A143" s="201"/>
      <c r="B143" s="275"/>
      <c r="C143" s="566" t="s">
        <v>273</v>
      </c>
      <c r="D143" s="128"/>
      <c r="E143" s="128"/>
      <c r="F143" s="128"/>
      <c r="G143" s="128"/>
      <c r="H143" s="128"/>
      <c r="I143" s="128"/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430"/>
      <c r="AE143" s="128"/>
      <c r="AF143" s="128"/>
      <c r="AG143" s="128"/>
      <c r="AH143" s="128"/>
      <c r="AI143" s="128"/>
      <c r="AJ143" s="128"/>
      <c r="AK143" s="128"/>
      <c r="AL143" s="128"/>
      <c r="AM143" s="128"/>
      <c r="AN143" s="128"/>
      <c r="AO143" s="128"/>
      <c r="AP143" s="128"/>
      <c r="AQ143" s="128"/>
      <c r="AR143" s="128"/>
      <c r="AS143" s="128"/>
      <c r="AT143" s="128"/>
      <c r="AU143" s="128"/>
      <c r="AV143" s="128"/>
      <c r="AW143" s="128"/>
      <c r="AX143" s="128"/>
      <c r="AY143" s="128"/>
      <c r="AZ143" s="128"/>
      <c r="BA143" s="564"/>
      <c r="BB143" s="564"/>
      <c r="BC143" s="564"/>
      <c r="BD143" s="564"/>
      <c r="BE143" s="564"/>
      <c r="BF143" s="564"/>
      <c r="BG143" s="564"/>
      <c r="BH143" s="564"/>
      <c r="BI143" s="460">
        <v>2400</v>
      </c>
      <c r="BJ143" s="460"/>
      <c r="BK143" s="460"/>
      <c r="BL143" s="460">
        <v>0</v>
      </c>
      <c r="BM143" s="250">
        <f t="shared" si="159"/>
        <v>2400</v>
      </c>
      <c r="BN143" s="172"/>
      <c r="BO143" s="172"/>
      <c r="BP143" s="96"/>
      <c r="BQ143" s="96"/>
      <c r="BR143" s="96"/>
      <c r="BS143" s="96"/>
      <c r="BT143" s="96"/>
      <c r="BU143" s="96"/>
      <c r="BV143" s="96"/>
      <c r="BW143" s="96"/>
      <c r="BX143" s="96"/>
      <c r="BY143" s="96"/>
      <c r="BZ143" s="96"/>
      <c r="CA143" s="96"/>
      <c r="CB143" s="96"/>
      <c r="CC143" s="96"/>
      <c r="CD143" s="96"/>
      <c r="CE143" s="96"/>
      <c r="CF143" s="96"/>
      <c r="CG143" s="96"/>
      <c r="CH143" s="96"/>
      <c r="CI143" s="96"/>
      <c r="CJ143" s="96"/>
      <c r="CK143" s="96"/>
      <c r="CL143" s="96"/>
      <c r="CM143" s="96"/>
      <c r="CN143" s="96"/>
      <c r="CO143" s="96"/>
      <c r="CP143" s="96"/>
      <c r="CQ143" s="96"/>
      <c r="CR143" s="96"/>
    </row>
    <row r="144" spans="1:96" s="99" customFormat="1" ht="21" customHeight="1">
      <c r="A144" s="201"/>
      <c r="B144" s="275"/>
      <c r="C144" s="276" t="s">
        <v>175</v>
      </c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5"/>
      <c r="AD144" s="158"/>
      <c r="AE144" s="125"/>
      <c r="AF144" s="125"/>
      <c r="AG144" s="125"/>
      <c r="AH144" s="125"/>
      <c r="AI144" s="125"/>
      <c r="AJ144" s="125"/>
      <c r="AK144" s="125"/>
      <c r="AL144" s="125"/>
      <c r="AM144" s="125"/>
      <c r="AN144" s="125"/>
      <c r="AO144" s="125"/>
      <c r="AP144" s="125"/>
      <c r="AQ144" s="125"/>
      <c r="AR144" s="125"/>
      <c r="AS144" s="125"/>
      <c r="AT144" s="125"/>
      <c r="AU144" s="125"/>
      <c r="AV144" s="125"/>
      <c r="AW144" s="125"/>
      <c r="AX144" s="125"/>
      <c r="AY144" s="125"/>
      <c r="AZ144" s="125"/>
      <c r="BA144" s="185"/>
      <c r="BB144" s="185"/>
      <c r="BC144" s="185"/>
      <c r="BD144" s="185"/>
      <c r="BE144" s="185"/>
      <c r="BF144" s="185"/>
      <c r="BG144" s="185"/>
      <c r="BH144" s="185"/>
      <c r="BI144" s="460">
        <v>11000</v>
      </c>
      <c r="BJ144" s="460"/>
      <c r="BK144" s="460"/>
      <c r="BL144" s="460">
        <v>0</v>
      </c>
      <c r="BM144" s="250">
        <f t="shared" si="159"/>
        <v>11000</v>
      </c>
      <c r="BN144" s="172"/>
      <c r="BO144" s="172"/>
      <c r="BP144" s="96"/>
      <c r="BQ144" s="96"/>
      <c r="BR144" s="96"/>
      <c r="BS144" s="96"/>
      <c r="BT144" s="96"/>
      <c r="BU144" s="96"/>
      <c r="BV144" s="96"/>
      <c r="BW144" s="96"/>
      <c r="BX144" s="96"/>
      <c r="BY144" s="96"/>
      <c r="BZ144" s="96"/>
      <c r="CA144" s="96"/>
      <c r="CB144" s="96"/>
      <c r="CC144" s="96"/>
      <c r="CD144" s="96"/>
      <c r="CE144" s="96"/>
      <c r="CF144" s="96"/>
      <c r="CG144" s="96"/>
      <c r="CH144" s="96"/>
      <c r="CI144" s="96"/>
      <c r="CJ144" s="96"/>
      <c r="CK144" s="96"/>
      <c r="CL144" s="96"/>
      <c r="CM144" s="96"/>
      <c r="CN144" s="96"/>
      <c r="CO144" s="96"/>
      <c r="CP144" s="96"/>
      <c r="CQ144" s="96"/>
      <c r="CR144" s="96"/>
    </row>
    <row r="145" spans="1:109" s="99" customFormat="1" ht="31.5" customHeight="1">
      <c r="A145" s="201"/>
      <c r="B145" s="275"/>
      <c r="C145" s="276" t="s">
        <v>172</v>
      </c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  <c r="Z145" s="125"/>
      <c r="AA145" s="125"/>
      <c r="AB145" s="125"/>
      <c r="AC145" s="125"/>
      <c r="AD145" s="158"/>
      <c r="AE145" s="125"/>
      <c r="AF145" s="125"/>
      <c r="AG145" s="125"/>
      <c r="AH145" s="125"/>
      <c r="AI145" s="125"/>
      <c r="AJ145" s="125"/>
      <c r="AK145" s="125"/>
      <c r="AL145" s="125"/>
      <c r="AM145" s="125"/>
      <c r="AN145" s="125"/>
      <c r="AO145" s="125"/>
      <c r="AP145" s="125"/>
      <c r="AQ145" s="125"/>
      <c r="AR145" s="125"/>
      <c r="AS145" s="125"/>
      <c r="AT145" s="125"/>
      <c r="AU145" s="125"/>
      <c r="AV145" s="125"/>
      <c r="AW145" s="125"/>
      <c r="AX145" s="125"/>
      <c r="AY145" s="125"/>
      <c r="AZ145" s="125"/>
      <c r="BA145" s="185"/>
      <c r="BB145" s="185"/>
      <c r="BC145" s="185"/>
      <c r="BD145" s="185"/>
      <c r="BE145" s="185"/>
      <c r="BF145" s="185"/>
      <c r="BG145" s="185"/>
      <c r="BH145" s="185"/>
      <c r="BI145" s="460">
        <v>13300</v>
      </c>
      <c r="BJ145" s="460"/>
      <c r="BK145" s="460"/>
      <c r="BL145" s="460">
        <v>0</v>
      </c>
      <c r="BM145" s="250">
        <f t="shared" si="159"/>
        <v>13300</v>
      </c>
      <c r="BN145" s="172"/>
      <c r="BO145" s="172"/>
      <c r="BP145" s="96"/>
      <c r="BQ145" s="96"/>
      <c r="BR145" s="96"/>
      <c r="BS145" s="96"/>
      <c r="BT145" s="96"/>
      <c r="BU145" s="96"/>
      <c r="BV145" s="96"/>
      <c r="BW145" s="96"/>
      <c r="BX145" s="96"/>
      <c r="BY145" s="96"/>
      <c r="BZ145" s="96"/>
      <c r="CA145" s="96"/>
      <c r="CB145" s="96"/>
      <c r="CC145" s="96"/>
      <c r="CD145" s="96"/>
      <c r="CE145" s="96"/>
      <c r="CF145" s="96"/>
      <c r="CG145" s="96"/>
      <c r="CH145" s="96"/>
      <c r="CI145" s="96"/>
      <c r="CJ145" s="96"/>
      <c r="CK145" s="96"/>
      <c r="CL145" s="96"/>
      <c r="CM145" s="96"/>
      <c r="CN145" s="96"/>
      <c r="CO145" s="96"/>
      <c r="CP145" s="96"/>
      <c r="CQ145" s="96"/>
      <c r="CR145" s="96"/>
    </row>
    <row r="146" spans="1:109" s="99" customFormat="1" ht="30" customHeight="1">
      <c r="A146" s="201"/>
      <c r="B146" s="275"/>
      <c r="C146" s="272" t="s">
        <v>170</v>
      </c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  <c r="AC146" s="125"/>
      <c r="AD146" s="158"/>
      <c r="AE146" s="125"/>
      <c r="AF146" s="125"/>
      <c r="AG146" s="125"/>
      <c r="AH146" s="125"/>
      <c r="AI146" s="125"/>
      <c r="AJ146" s="125"/>
      <c r="AK146" s="125"/>
      <c r="AL146" s="125"/>
      <c r="AM146" s="125"/>
      <c r="AN146" s="125"/>
      <c r="AO146" s="125"/>
      <c r="AP146" s="125"/>
      <c r="AQ146" s="125"/>
      <c r="AR146" s="125"/>
      <c r="AS146" s="125"/>
      <c r="AT146" s="125"/>
      <c r="AU146" s="125"/>
      <c r="AV146" s="125"/>
      <c r="AW146" s="125"/>
      <c r="AX146" s="125"/>
      <c r="AY146" s="125"/>
      <c r="AZ146" s="125"/>
      <c r="BA146" s="273"/>
      <c r="BB146" s="273"/>
      <c r="BC146" s="273"/>
      <c r="BD146" s="273"/>
      <c r="BE146" s="273"/>
      <c r="BF146" s="273"/>
      <c r="BG146" s="273"/>
      <c r="BH146" s="273"/>
      <c r="BI146" s="458">
        <v>10500</v>
      </c>
      <c r="BJ146" s="460"/>
      <c r="BK146" s="460"/>
      <c r="BL146" s="458">
        <v>0</v>
      </c>
      <c r="BM146" s="250">
        <f t="shared" si="159"/>
        <v>10500</v>
      </c>
      <c r="BN146" s="172"/>
      <c r="BO146" s="172"/>
      <c r="BP146" s="96"/>
      <c r="BQ146" s="96"/>
      <c r="BR146" s="96"/>
      <c r="BS146" s="96"/>
      <c r="BT146" s="96"/>
      <c r="BU146" s="96"/>
      <c r="BV146" s="96"/>
      <c r="BW146" s="96"/>
      <c r="BX146" s="96"/>
      <c r="BY146" s="96"/>
      <c r="BZ146" s="96"/>
      <c r="CA146" s="96"/>
      <c r="CB146" s="96"/>
      <c r="CC146" s="96"/>
      <c r="CD146" s="96"/>
      <c r="CE146" s="96"/>
      <c r="CF146" s="96"/>
      <c r="CG146" s="96"/>
      <c r="CH146" s="96"/>
      <c r="CI146" s="96"/>
      <c r="CJ146" s="96"/>
      <c r="CK146" s="96"/>
      <c r="CL146" s="96"/>
      <c r="CM146" s="96"/>
      <c r="CN146" s="96"/>
      <c r="CO146" s="96"/>
      <c r="CP146" s="96"/>
      <c r="CQ146" s="96"/>
      <c r="CR146" s="96"/>
    </row>
    <row r="147" spans="1:109" s="246" customFormat="1">
      <c r="A147" s="241"/>
      <c r="B147" s="242"/>
      <c r="C147" s="243"/>
      <c r="D147" s="244"/>
      <c r="E147" s="244"/>
      <c r="F147" s="244"/>
      <c r="G147" s="146"/>
      <c r="H147" s="146"/>
      <c r="I147" s="146"/>
      <c r="J147" s="146"/>
      <c r="K147" s="244"/>
      <c r="L147" s="244"/>
      <c r="M147" s="244"/>
      <c r="N147" s="146"/>
      <c r="O147" s="146"/>
      <c r="P147" s="146"/>
      <c r="Q147" s="146"/>
      <c r="R147" s="146"/>
      <c r="S147" s="146"/>
      <c r="T147" s="146"/>
      <c r="U147" s="146"/>
      <c r="V147" s="146"/>
      <c r="W147" s="146"/>
      <c r="X147" s="146"/>
      <c r="Y147" s="146"/>
      <c r="Z147" s="146"/>
      <c r="AA147" s="146"/>
      <c r="AB147" s="146"/>
      <c r="AC147" s="146"/>
      <c r="AD147" s="245"/>
      <c r="AE147" s="146"/>
      <c r="AF147" s="146"/>
      <c r="AG147" s="146"/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  <c r="BI147" s="146">
        <f>BI115</f>
        <v>300000</v>
      </c>
      <c r="BJ147" s="146" t="e">
        <f t="shared" ref="BJ147:BL147" si="166">BJ115</f>
        <v>#REF!</v>
      </c>
      <c r="BK147" s="146" t="e">
        <f t="shared" si="166"/>
        <v>#REF!</v>
      </c>
      <c r="BL147" s="146">
        <f t="shared" si="166"/>
        <v>0</v>
      </c>
      <c r="BM147" s="277">
        <f>BI147+BL147</f>
        <v>300000</v>
      </c>
      <c r="BN147" s="172"/>
      <c r="BO147" s="172"/>
      <c r="BP147" s="172"/>
      <c r="BQ147" s="172"/>
      <c r="BR147" s="172"/>
      <c r="BS147" s="172"/>
      <c r="BT147" s="172"/>
      <c r="BU147" s="172"/>
      <c r="BV147" s="172"/>
      <c r="BW147" s="172"/>
      <c r="BX147" s="172"/>
      <c r="BY147" s="172"/>
      <c r="BZ147" s="172"/>
      <c r="CA147" s="172"/>
      <c r="CB147" s="172"/>
      <c r="CC147" s="172"/>
      <c r="CD147" s="172"/>
      <c r="CE147" s="172"/>
      <c r="CF147" s="172"/>
      <c r="CG147" s="172"/>
      <c r="CH147" s="172"/>
      <c r="CI147" s="172"/>
      <c r="CJ147" s="172"/>
      <c r="CK147" s="172"/>
      <c r="CL147" s="172"/>
      <c r="CM147" s="172"/>
      <c r="CN147" s="172"/>
      <c r="CO147" s="172"/>
      <c r="CP147" s="172"/>
      <c r="CQ147" s="172"/>
      <c r="CR147" s="172"/>
    </row>
    <row r="148" spans="1:109" s="1" customFormat="1" ht="15">
      <c r="A148" s="90" t="s">
        <v>102</v>
      </c>
      <c r="B148" s="90" t="s">
        <v>103</v>
      </c>
      <c r="C148" s="164" t="s">
        <v>3</v>
      </c>
      <c r="D148" s="106"/>
      <c r="E148" s="94"/>
      <c r="F148" s="94"/>
      <c r="G148" s="94"/>
      <c r="H148" s="98"/>
      <c r="I148" s="98"/>
      <c r="J148" s="98"/>
      <c r="K148" s="98"/>
      <c r="L148" s="91"/>
      <c r="M148" s="91"/>
      <c r="N148" s="468"/>
      <c r="O148" s="468"/>
      <c r="P148" s="468"/>
      <c r="Q148" s="468"/>
      <c r="R148" s="468"/>
      <c r="S148" s="468"/>
      <c r="T148" s="468"/>
      <c r="U148" s="468"/>
      <c r="V148" s="468"/>
      <c r="W148" s="468"/>
      <c r="X148" s="468"/>
      <c r="Y148" s="468"/>
      <c r="Z148" s="468"/>
      <c r="AA148" s="468"/>
      <c r="AB148" s="468"/>
      <c r="AC148" s="468"/>
      <c r="AD148" s="90" t="s">
        <v>79</v>
      </c>
      <c r="AE148" s="468"/>
      <c r="AF148" s="468"/>
      <c r="AG148" s="468"/>
      <c r="AH148" s="468"/>
      <c r="AI148" s="468"/>
      <c r="AJ148" s="468"/>
      <c r="AK148" s="468"/>
      <c r="AL148" s="468"/>
      <c r="AM148" s="468"/>
      <c r="AN148" s="468"/>
      <c r="AO148" s="468"/>
      <c r="AP148" s="468"/>
      <c r="AQ148" s="468"/>
      <c r="AR148" s="468"/>
      <c r="AS148" s="468"/>
      <c r="AT148" s="468"/>
      <c r="AU148" s="468"/>
      <c r="AV148" s="468"/>
      <c r="AW148" s="468"/>
      <c r="AX148" s="468"/>
      <c r="AY148" s="468"/>
      <c r="AZ148" s="468"/>
      <c r="BA148" s="468"/>
      <c r="BB148" s="468"/>
      <c r="BC148" s="468"/>
      <c r="BD148" s="468"/>
      <c r="BE148" s="468"/>
      <c r="BF148" s="468"/>
      <c r="BG148" s="468"/>
      <c r="BH148" s="468"/>
      <c r="BI148" s="113">
        <v>527327.18999999994</v>
      </c>
      <c r="BJ148" s="113">
        <v>512890</v>
      </c>
      <c r="BK148" s="113">
        <v>512890</v>
      </c>
      <c r="BL148" s="113">
        <v>0</v>
      </c>
      <c r="BM148" s="278">
        <f>BI148+BL148</f>
        <v>527327.18999999994</v>
      </c>
      <c r="BN148" s="104"/>
      <c r="BO148" s="105"/>
      <c r="BP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7"/>
      <c r="CP148" s="27"/>
      <c r="CQ148" s="27"/>
      <c r="CR148" s="27"/>
      <c r="CS148" s="27"/>
      <c r="CT148" s="27"/>
      <c r="CU148" s="27"/>
      <c r="CV148" s="27"/>
      <c r="CW148" s="27"/>
      <c r="CX148" s="27"/>
      <c r="CY148" s="27"/>
      <c r="CZ148" s="27"/>
      <c r="DA148" s="27"/>
      <c r="DB148" s="27"/>
      <c r="DC148" s="27"/>
      <c r="DD148" s="27"/>
      <c r="DE148" s="27"/>
    </row>
    <row r="149" spans="1:109" s="1" customFormat="1" ht="15">
      <c r="A149" s="116"/>
      <c r="B149" s="90" t="s">
        <v>104</v>
      </c>
      <c r="C149" s="164" t="s">
        <v>4</v>
      </c>
      <c r="D149" s="106"/>
      <c r="E149" s="94"/>
      <c r="F149" s="94"/>
      <c r="G149" s="94"/>
      <c r="H149" s="98"/>
      <c r="I149" s="98"/>
      <c r="J149" s="98"/>
      <c r="K149" s="98"/>
      <c r="L149" s="91"/>
      <c r="M149" s="91"/>
      <c r="N149" s="468"/>
      <c r="O149" s="468"/>
      <c r="P149" s="468"/>
      <c r="Q149" s="468"/>
      <c r="R149" s="468"/>
      <c r="S149" s="468"/>
      <c r="T149" s="468"/>
      <c r="U149" s="468"/>
      <c r="V149" s="468"/>
      <c r="W149" s="468"/>
      <c r="X149" s="468"/>
      <c r="Y149" s="468"/>
      <c r="Z149" s="468"/>
      <c r="AA149" s="468"/>
      <c r="AB149" s="468"/>
      <c r="AC149" s="468"/>
      <c r="AD149" s="90" t="s">
        <v>80</v>
      </c>
      <c r="AE149" s="468"/>
      <c r="AF149" s="468"/>
      <c r="AG149" s="468"/>
      <c r="AH149" s="468"/>
      <c r="AI149" s="468"/>
      <c r="AJ149" s="468"/>
      <c r="AK149" s="468"/>
      <c r="AL149" s="468"/>
      <c r="AM149" s="468"/>
      <c r="AN149" s="468"/>
      <c r="AO149" s="468"/>
      <c r="AP149" s="468"/>
      <c r="AQ149" s="468"/>
      <c r="AR149" s="468"/>
      <c r="AS149" s="468"/>
      <c r="AT149" s="468"/>
      <c r="AU149" s="468"/>
      <c r="AV149" s="468"/>
      <c r="AW149" s="468"/>
      <c r="AX149" s="468"/>
      <c r="AY149" s="468"/>
      <c r="AZ149" s="468"/>
      <c r="BA149" s="468"/>
      <c r="BB149" s="468"/>
      <c r="BC149" s="468"/>
      <c r="BD149" s="468"/>
      <c r="BE149" s="468"/>
      <c r="BF149" s="468"/>
      <c r="BG149" s="468"/>
      <c r="BH149" s="468"/>
      <c r="BI149" s="113">
        <v>162272.81</v>
      </c>
      <c r="BJ149" s="113">
        <v>154710</v>
      </c>
      <c r="BK149" s="113">
        <v>154710</v>
      </c>
      <c r="BL149" s="113">
        <v>0</v>
      </c>
      <c r="BM149" s="278">
        <f t="shared" ref="BM149:BM160" si="167">BI149+BL149</f>
        <v>162272.81</v>
      </c>
      <c r="BN149" s="104"/>
      <c r="BO149" s="105"/>
      <c r="BP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7"/>
      <c r="CP149" s="27"/>
      <c r="CQ149" s="27"/>
      <c r="CR149" s="27"/>
      <c r="CS149" s="27"/>
      <c r="CT149" s="27"/>
      <c r="CU149" s="27"/>
      <c r="CV149" s="27"/>
      <c r="CW149" s="27"/>
      <c r="CX149" s="27"/>
      <c r="CY149" s="27"/>
      <c r="CZ149" s="27"/>
      <c r="DA149" s="27"/>
      <c r="DB149" s="27"/>
      <c r="DC149" s="27"/>
      <c r="DD149" s="27"/>
      <c r="DE149" s="27"/>
    </row>
    <row r="150" spans="1:109" s="1" customFormat="1" ht="25.5">
      <c r="A150" s="116"/>
      <c r="B150" s="90" t="s">
        <v>121</v>
      </c>
      <c r="C150" s="87" t="s">
        <v>110</v>
      </c>
      <c r="D150" s="106"/>
      <c r="E150" s="94"/>
      <c r="F150" s="94"/>
      <c r="G150" s="94"/>
      <c r="H150" s="98"/>
      <c r="I150" s="98"/>
      <c r="J150" s="98"/>
      <c r="K150" s="98"/>
      <c r="L150" s="91"/>
      <c r="M150" s="91"/>
      <c r="N150" s="468"/>
      <c r="O150" s="468"/>
      <c r="P150" s="468"/>
      <c r="Q150" s="468"/>
      <c r="R150" s="468"/>
      <c r="S150" s="468"/>
      <c r="T150" s="468"/>
      <c r="U150" s="468"/>
      <c r="V150" s="468"/>
      <c r="W150" s="468"/>
      <c r="X150" s="468"/>
      <c r="Y150" s="468"/>
      <c r="Z150" s="468"/>
      <c r="AA150" s="468"/>
      <c r="AB150" s="468"/>
      <c r="AC150" s="468"/>
      <c r="AD150" s="90" t="s">
        <v>79</v>
      </c>
      <c r="AE150" s="468"/>
      <c r="AF150" s="468"/>
      <c r="AG150" s="468"/>
      <c r="AH150" s="468"/>
      <c r="AI150" s="468"/>
      <c r="AJ150" s="468"/>
      <c r="AK150" s="468"/>
      <c r="AL150" s="468"/>
      <c r="AM150" s="468"/>
      <c r="AN150" s="468"/>
      <c r="AO150" s="468"/>
      <c r="AP150" s="468"/>
      <c r="AQ150" s="468"/>
      <c r="AR150" s="468"/>
      <c r="AS150" s="468"/>
      <c r="AT150" s="468"/>
      <c r="AU150" s="468"/>
      <c r="AV150" s="468"/>
      <c r="AW150" s="468"/>
      <c r="AX150" s="468"/>
      <c r="AY150" s="468"/>
      <c r="AZ150" s="468"/>
      <c r="BA150" s="468"/>
      <c r="BB150" s="468"/>
      <c r="BC150" s="468"/>
      <c r="BD150" s="468"/>
      <c r="BE150" s="468"/>
      <c r="BF150" s="468"/>
      <c r="BG150" s="468"/>
      <c r="BH150" s="468"/>
      <c r="BI150" s="113">
        <v>10000</v>
      </c>
      <c r="BJ150" s="113"/>
      <c r="BK150" s="113"/>
      <c r="BL150" s="113">
        <v>0</v>
      </c>
      <c r="BM150" s="278">
        <f t="shared" si="167"/>
        <v>10000</v>
      </c>
      <c r="BN150" s="104"/>
      <c r="BO150" s="105"/>
      <c r="BP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7"/>
      <c r="CP150" s="27"/>
      <c r="CQ150" s="27"/>
      <c r="CR150" s="27"/>
      <c r="CS150" s="27"/>
      <c r="CT150" s="27"/>
      <c r="CU150" s="27"/>
      <c r="CV150" s="27"/>
      <c r="CW150" s="27"/>
      <c r="CX150" s="27"/>
      <c r="CY150" s="27"/>
      <c r="CZ150" s="27"/>
      <c r="DA150" s="27"/>
      <c r="DB150" s="27"/>
      <c r="DC150" s="27"/>
      <c r="DD150" s="27"/>
      <c r="DE150" s="27"/>
    </row>
    <row r="151" spans="1:109" s="1" customFormat="1" ht="15">
      <c r="A151" s="116"/>
      <c r="B151" s="90" t="s">
        <v>105</v>
      </c>
      <c r="C151" s="157" t="s">
        <v>13</v>
      </c>
      <c r="D151" s="106"/>
      <c r="E151" s="94"/>
      <c r="F151" s="94"/>
      <c r="G151" s="94"/>
      <c r="H151" s="98"/>
      <c r="I151" s="98"/>
      <c r="J151" s="98"/>
      <c r="K151" s="98"/>
      <c r="L151" s="91"/>
      <c r="M151" s="91"/>
      <c r="N151" s="468"/>
      <c r="O151" s="468"/>
      <c r="P151" s="468"/>
      <c r="Q151" s="468"/>
      <c r="R151" s="468"/>
      <c r="S151" s="468"/>
      <c r="T151" s="468"/>
      <c r="U151" s="468"/>
      <c r="V151" s="468"/>
      <c r="W151" s="468"/>
      <c r="X151" s="468"/>
      <c r="Y151" s="468"/>
      <c r="Z151" s="468"/>
      <c r="AA151" s="468"/>
      <c r="AB151" s="468"/>
      <c r="AC151" s="468"/>
      <c r="AD151" s="90" t="s">
        <v>78</v>
      </c>
      <c r="AE151" s="468"/>
      <c r="AF151" s="468"/>
      <c r="AG151" s="468"/>
      <c r="AH151" s="468"/>
      <c r="AI151" s="468"/>
      <c r="AJ151" s="468"/>
      <c r="AK151" s="468"/>
      <c r="AL151" s="468"/>
      <c r="AM151" s="468"/>
      <c r="AN151" s="468"/>
      <c r="AO151" s="468"/>
      <c r="AP151" s="468"/>
      <c r="AQ151" s="468"/>
      <c r="AR151" s="468"/>
      <c r="AS151" s="468"/>
      <c r="AT151" s="468"/>
      <c r="AU151" s="468"/>
      <c r="AV151" s="468"/>
      <c r="AW151" s="468"/>
      <c r="AX151" s="468"/>
      <c r="AY151" s="468"/>
      <c r="AZ151" s="468"/>
      <c r="BA151" s="468"/>
      <c r="BB151" s="468"/>
      <c r="BC151" s="468"/>
      <c r="BD151" s="468"/>
      <c r="BE151" s="468"/>
      <c r="BF151" s="468"/>
      <c r="BG151" s="468"/>
      <c r="BH151" s="468"/>
      <c r="BI151" s="113">
        <f>BI152</f>
        <v>9000</v>
      </c>
      <c r="BJ151" s="113">
        <f t="shared" ref="BJ151:BL151" si="168">BJ152</f>
        <v>0</v>
      </c>
      <c r="BK151" s="113">
        <f t="shared" si="168"/>
        <v>0</v>
      </c>
      <c r="BL151" s="113">
        <f t="shared" si="168"/>
        <v>0</v>
      </c>
      <c r="BM151" s="278">
        <f t="shared" si="167"/>
        <v>9000</v>
      </c>
      <c r="BN151" s="104"/>
      <c r="BO151" s="105"/>
      <c r="BP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7"/>
      <c r="CP151" s="27"/>
      <c r="CQ151" s="27"/>
      <c r="CR151" s="27"/>
      <c r="CS151" s="27"/>
      <c r="CT151" s="27"/>
      <c r="CU151" s="27"/>
      <c r="CV151" s="27"/>
      <c r="CW151" s="27"/>
      <c r="CX151" s="27"/>
      <c r="CY151" s="27"/>
      <c r="CZ151" s="27"/>
      <c r="DA151" s="27"/>
      <c r="DB151" s="27"/>
      <c r="DC151" s="27"/>
      <c r="DD151" s="27"/>
      <c r="DE151" s="27"/>
    </row>
    <row r="152" spans="1:109" s="1" customFormat="1" ht="15">
      <c r="A152" s="450"/>
      <c r="B152" s="109"/>
      <c r="C152" s="451" t="s">
        <v>256</v>
      </c>
      <c r="D152" s="106"/>
      <c r="E152" s="94"/>
      <c r="F152" s="94"/>
      <c r="G152" s="94"/>
      <c r="H152" s="98"/>
      <c r="I152" s="98"/>
      <c r="J152" s="98"/>
      <c r="K152" s="98"/>
      <c r="L152" s="91"/>
      <c r="M152" s="91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  <c r="AB152" s="92"/>
      <c r="AC152" s="92"/>
      <c r="AD152" s="109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/>
      <c r="AY152" s="92"/>
      <c r="AZ152" s="92"/>
      <c r="BA152" s="92"/>
      <c r="BB152" s="92"/>
      <c r="BC152" s="92"/>
      <c r="BD152" s="92"/>
      <c r="BE152" s="92"/>
      <c r="BF152" s="92"/>
      <c r="BG152" s="92"/>
      <c r="BH152" s="92"/>
      <c r="BI152" s="128">
        <v>9000</v>
      </c>
      <c r="BJ152" s="128"/>
      <c r="BK152" s="128"/>
      <c r="BL152" s="128">
        <v>0</v>
      </c>
      <c r="BM152" s="461">
        <f t="shared" si="167"/>
        <v>9000</v>
      </c>
      <c r="BN152" s="104"/>
      <c r="BO152" s="105"/>
      <c r="BP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7"/>
      <c r="CP152" s="27"/>
      <c r="CQ152" s="27"/>
      <c r="CR152" s="27"/>
      <c r="CS152" s="27"/>
      <c r="CT152" s="27"/>
      <c r="CU152" s="27"/>
      <c r="CV152" s="27"/>
      <c r="CW152" s="27"/>
      <c r="CX152" s="27"/>
      <c r="CY152" s="27"/>
      <c r="CZ152" s="27"/>
      <c r="DA152" s="27"/>
      <c r="DB152" s="27"/>
      <c r="DC152" s="27"/>
      <c r="DD152" s="27"/>
      <c r="DE152" s="27"/>
    </row>
    <row r="153" spans="1:109" s="1" customFormat="1" ht="14.25" customHeight="1">
      <c r="A153" s="116"/>
      <c r="B153" s="90" t="s">
        <v>106</v>
      </c>
      <c r="C153" s="157" t="s">
        <v>7</v>
      </c>
      <c r="D153" s="106"/>
      <c r="E153" s="94"/>
      <c r="F153" s="94"/>
      <c r="G153" s="94"/>
      <c r="H153" s="98"/>
      <c r="I153" s="98"/>
      <c r="J153" s="98"/>
      <c r="K153" s="98"/>
      <c r="L153" s="91"/>
      <c r="M153" s="91"/>
      <c r="N153" s="468"/>
      <c r="O153" s="468"/>
      <c r="P153" s="468"/>
      <c r="Q153" s="468"/>
      <c r="R153" s="468"/>
      <c r="S153" s="468"/>
      <c r="T153" s="468"/>
      <c r="U153" s="468"/>
      <c r="V153" s="468"/>
      <c r="W153" s="468"/>
      <c r="X153" s="468"/>
      <c r="Y153" s="468"/>
      <c r="Z153" s="468"/>
      <c r="AA153" s="468"/>
      <c r="AB153" s="468"/>
      <c r="AC153" s="468"/>
      <c r="AD153" s="90" t="s">
        <v>78</v>
      </c>
      <c r="AE153" s="468"/>
      <c r="AF153" s="468"/>
      <c r="AG153" s="468"/>
      <c r="AH153" s="468"/>
      <c r="AI153" s="468"/>
      <c r="AJ153" s="468"/>
      <c r="AK153" s="468"/>
      <c r="AL153" s="468"/>
      <c r="AM153" s="468"/>
      <c r="AN153" s="468"/>
      <c r="AO153" s="468"/>
      <c r="AP153" s="468"/>
      <c r="AQ153" s="468"/>
      <c r="AR153" s="468"/>
      <c r="AS153" s="468"/>
      <c r="AT153" s="468"/>
      <c r="AU153" s="468"/>
      <c r="AV153" s="468"/>
      <c r="AW153" s="468"/>
      <c r="AX153" s="468"/>
      <c r="AY153" s="468"/>
      <c r="AZ153" s="468"/>
      <c r="BA153" s="468"/>
      <c r="BB153" s="468"/>
      <c r="BC153" s="468"/>
      <c r="BD153" s="468"/>
      <c r="BE153" s="468"/>
      <c r="BF153" s="468"/>
      <c r="BG153" s="468"/>
      <c r="BH153" s="468"/>
      <c r="BI153" s="113">
        <f>BI154</f>
        <v>2100</v>
      </c>
      <c r="BJ153" s="113">
        <f t="shared" ref="BJ153:BL153" si="169">BJ154</f>
        <v>0</v>
      </c>
      <c r="BK153" s="113">
        <f t="shared" si="169"/>
        <v>0</v>
      </c>
      <c r="BL153" s="113">
        <f t="shared" si="169"/>
        <v>0</v>
      </c>
      <c r="BM153" s="278">
        <f t="shared" si="167"/>
        <v>2100</v>
      </c>
      <c r="BN153" s="104"/>
      <c r="BO153" s="105"/>
      <c r="BP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7"/>
      <c r="CP153" s="27"/>
      <c r="CQ153" s="27"/>
      <c r="CR153" s="27"/>
      <c r="CS153" s="27"/>
      <c r="CT153" s="27"/>
      <c r="CU153" s="27"/>
      <c r="CV153" s="27"/>
      <c r="CW153" s="27"/>
      <c r="CX153" s="27"/>
      <c r="CY153" s="27"/>
      <c r="CZ153" s="27"/>
      <c r="DA153" s="27"/>
      <c r="DB153" s="27"/>
      <c r="DC153" s="27"/>
      <c r="DD153" s="27"/>
      <c r="DE153" s="27"/>
    </row>
    <row r="154" spans="1:109" s="1" customFormat="1" ht="14.25" customHeight="1">
      <c r="A154" s="116"/>
      <c r="B154" s="90"/>
      <c r="C154" s="451" t="s">
        <v>167</v>
      </c>
      <c r="D154" s="106"/>
      <c r="E154" s="94"/>
      <c r="F154" s="94"/>
      <c r="G154" s="94"/>
      <c r="H154" s="98"/>
      <c r="I154" s="98"/>
      <c r="J154" s="98"/>
      <c r="K154" s="98"/>
      <c r="L154" s="91"/>
      <c r="M154" s="91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92"/>
      <c r="AB154" s="92"/>
      <c r="AC154" s="92"/>
      <c r="AD154" s="109"/>
      <c r="AE154" s="92"/>
      <c r="AF154" s="92"/>
      <c r="AG154" s="92"/>
      <c r="AH154" s="92"/>
      <c r="AI154" s="92"/>
      <c r="AJ154" s="92"/>
      <c r="AK154" s="92"/>
      <c r="AL154" s="92"/>
      <c r="AM154" s="92"/>
      <c r="AN154" s="92"/>
      <c r="AO154" s="92"/>
      <c r="AP154" s="92"/>
      <c r="AQ154" s="92"/>
      <c r="AR154" s="92"/>
      <c r="AS154" s="92"/>
      <c r="AT154" s="92"/>
      <c r="AU154" s="92"/>
      <c r="AV154" s="92"/>
      <c r="AW154" s="92"/>
      <c r="AX154" s="92"/>
      <c r="AY154" s="92"/>
      <c r="AZ154" s="92"/>
      <c r="BA154" s="92"/>
      <c r="BB154" s="92"/>
      <c r="BC154" s="92"/>
      <c r="BD154" s="92"/>
      <c r="BE154" s="92"/>
      <c r="BF154" s="92"/>
      <c r="BG154" s="92"/>
      <c r="BH154" s="92"/>
      <c r="BI154" s="128">
        <v>2100</v>
      </c>
      <c r="BJ154" s="128"/>
      <c r="BK154" s="128"/>
      <c r="BL154" s="128">
        <v>0</v>
      </c>
      <c r="BM154" s="461">
        <f t="shared" si="167"/>
        <v>2100</v>
      </c>
      <c r="BN154" s="104"/>
      <c r="BO154" s="105"/>
      <c r="BP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7"/>
      <c r="CP154" s="27"/>
      <c r="CQ154" s="27"/>
      <c r="CR154" s="27"/>
      <c r="CS154" s="27"/>
      <c r="CT154" s="27"/>
      <c r="CU154" s="27"/>
      <c r="CV154" s="27"/>
      <c r="CW154" s="27"/>
      <c r="CX154" s="27"/>
      <c r="CY154" s="27"/>
      <c r="CZ154" s="27"/>
      <c r="DA154" s="27"/>
      <c r="DB154" s="27"/>
      <c r="DC154" s="27"/>
      <c r="DD154" s="27"/>
      <c r="DE154" s="27"/>
    </row>
    <row r="155" spans="1:109" s="1" customFormat="1" ht="15">
      <c r="A155" s="116"/>
      <c r="B155" s="90" t="s">
        <v>107</v>
      </c>
      <c r="C155" s="85" t="s">
        <v>8</v>
      </c>
      <c r="D155" s="106"/>
      <c r="E155" s="94"/>
      <c r="F155" s="94"/>
      <c r="G155" s="94"/>
      <c r="H155" s="98"/>
      <c r="I155" s="98"/>
      <c r="J155" s="98"/>
      <c r="K155" s="98"/>
      <c r="L155" s="91"/>
      <c r="M155" s="91"/>
      <c r="N155" s="468"/>
      <c r="O155" s="468"/>
      <c r="P155" s="468"/>
      <c r="Q155" s="468"/>
      <c r="R155" s="468"/>
      <c r="S155" s="468"/>
      <c r="T155" s="468"/>
      <c r="U155" s="468"/>
      <c r="V155" s="468"/>
      <c r="W155" s="468"/>
      <c r="X155" s="468"/>
      <c r="Y155" s="468"/>
      <c r="Z155" s="468"/>
      <c r="AA155" s="468"/>
      <c r="AB155" s="468"/>
      <c r="AC155" s="468"/>
      <c r="AD155" s="90" t="s">
        <v>78</v>
      </c>
      <c r="AE155" s="468"/>
      <c r="AF155" s="468"/>
      <c r="AG155" s="468"/>
      <c r="AH155" s="468"/>
      <c r="AI155" s="468"/>
      <c r="AJ155" s="468"/>
      <c r="AK155" s="468"/>
      <c r="AL155" s="468"/>
      <c r="AM155" s="468"/>
      <c r="AN155" s="468"/>
      <c r="AO155" s="468"/>
      <c r="AP155" s="468"/>
      <c r="AQ155" s="468"/>
      <c r="AR155" s="468"/>
      <c r="AS155" s="468"/>
      <c r="AT155" s="468"/>
      <c r="AU155" s="468"/>
      <c r="AV155" s="468"/>
      <c r="AW155" s="468"/>
      <c r="AX155" s="468"/>
      <c r="AY155" s="468"/>
      <c r="AZ155" s="468"/>
      <c r="BA155" s="468"/>
      <c r="BB155" s="468"/>
      <c r="BC155" s="468"/>
      <c r="BD155" s="468"/>
      <c r="BE155" s="468"/>
      <c r="BF155" s="468"/>
      <c r="BG155" s="468"/>
      <c r="BH155" s="468"/>
      <c r="BI155" s="113">
        <v>21000</v>
      </c>
      <c r="BJ155" s="113"/>
      <c r="BK155" s="113"/>
      <c r="BL155" s="113">
        <f>BL156</f>
        <v>0</v>
      </c>
      <c r="BM155" s="278">
        <f t="shared" si="167"/>
        <v>21000</v>
      </c>
      <c r="BN155" s="104"/>
      <c r="BO155" s="105"/>
      <c r="BP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7"/>
      <c r="CP155" s="27"/>
      <c r="CQ155" s="27"/>
      <c r="CR155" s="27"/>
      <c r="CS155" s="27"/>
      <c r="CT155" s="27"/>
      <c r="CU155" s="27"/>
      <c r="CV155" s="27"/>
      <c r="CW155" s="27"/>
      <c r="CX155" s="27"/>
      <c r="CY155" s="27"/>
      <c r="CZ155" s="27"/>
      <c r="DA155" s="27"/>
      <c r="DB155" s="27"/>
      <c r="DC155" s="27"/>
      <c r="DD155" s="27"/>
      <c r="DE155" s="27"/>
    </row>
    <row r="156" spans="1:109" s="1" customFormat="1" ht="15">
      <c r="A156" s="116"/>
      <c r="B156" s="90"/>
      <c r="C156" s="89" t="s">
        <v>257</v>
      </c>
      <c r="D156" s="106"/>
      <c r="E156" s="94"/>
      <c r="F156" s="94"/>
      <c r="G156" s="94"/>
      <c r="H156" s="98"/>
      <c r="I156" s="98"/>
      <c r="J156" s="98"/>
      <c r="K156" s="98"/>
      <c r="L156" s="91"/>
      <c r="M156" s="91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92"/>
      <c r="AB156" s="92"/>
      <c r="AC156" s="92"/>
      <c r="AD156" s="109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/>
      <c r="AY156" s="92"/>
      <c r="AZ156" s="92"/>
      <c r="BA156" s="92"/>
      <c r="BB156" s="92"/>
      <c r="BC156" s="92"/>
      <c r="BD156" s="92"/>
      <c r="BE156" s="92"/>
      <c r="BF156" s="92"/>
      <c r="BG156" s="92"/>
      <c r="BH156" s="92"/>
      <c r="BI156" s="128">
        <v>21000</v>
      </c>
      <c r="BJ156" s="128"/>
      <c r="BK156" s="128"/>
      <c r="BL156" s="128">
        <v>0</v>
      </c>
      <c r="BM156" s="461">
        <f t="shared" si="167"/>
        <v>21000</v>
      </c>
      <c r="BN156" s="104"/>
      <c r="BO156" s="105"/>
      <c r="BP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7"/>
      <c r="CP156" s="27"/>
      <c r="CQ156" s="27"/>
      <c r="CR156" s="27"/>
      <c r="CS156" s="27"/>
      <c r="CT156" s="27"/>
      <c r="CU156" s="27"/>
      <c r="CV156" s="27"/>
      <c r="CW156" s="27"/>
      <c r="CX156" s="27"/>
      <c r="CY156" s="27"/>
      <c r="CZ156" s="27"/>
      <c r="DA156" s="27"/>
      <c r="DB156" s="27"/>
      <c r="DC156" s="27"/>
      <c r="DD156" s="27"/>
      <c r="DE156" s="27"/>
    </row>
    <row r="157" spans="1:109" s="1" customFormat="1" ht="15">
      <c r="A157" s="116"/>
      <c r="B157" s="90" t="s">
        <v>108</v>
      </c>
      <c r="C157" s="85" t="s">
        <v>9</v>
      </c>
      <c r="D157" s="106"/>
      <c r="E157" s="94"/>
      <c r="F157" s="94"/>
      <c r="G157" s="94"/>
      <c r="H157" s="98"/>
      <c r="I157" s="98"/>
      <c r="J157" s="98"/>
      <c r="K157" s="98"/>
      <c r="L157" s="91"/>
      <c r="M157" s="91"/>
      <c r="N157" s="468"/>
      <c r="O157" s="468"/>
      <c r="P157" s="468"/>
      <c r="Q157" s="468"/>
      <c r="R157" s="468"/>
      <c r="S157" s="468"/>
      <c r="T157" s="468"/>
      <c r="U157" s="468"/>
      <c r="V157" s="468"/>
      <c r="W157" s="468"/>
      <c r="X157" s="468"/>
      <c r="Y157" s="468"/>
      <c r="Z157" s="468"/>
      <c r="AA157" s="468"/>
      <c r="AB157" s="468"/>
      <c r="AC157" s="468"/>
      <c r="AD157" s="90" t="s">
        <v>78</v>
      </c>
      <c r="AE157" s="468"/>
      <c r="AF157" s="468"/>
      <c r="AG157" s="468"/>
      <c r="AH157" s="468"/>
      <c r="AI157" s="468"/>
      <c r="AJ157" s="468"/>
      <c r="AK157" s="468"/>
      <c r="AL157" s="468"/>
      <c r="AM157" s="468"/>
      <c r="AN157" s="468"/>
      <c r="AO157" s="468"/>
      <c r="AP157" s="468"/>
      <c r="AQ157" s="468"/>
      <c r="AR157" s="468"/>
      <c r="AS157" s="468"/>
      <c r="AT157" s="468"/>
      <c r="AU157" s="468"/>
      <c r="AV157" s="468"/>
      <c r="AW157" s="468"/>
      <c r="AX157" s="468"/>
      <c r="AY157" s="468"/>
      <c r="AZ157" s="468"/>
      <c r="BA157" s="468"/>
      <c r="BB157" s="468"/>
      <c r="BC157" s="468"/>
      <c r="BD157" s="468"/>
      <c r="BE157" s="468"/>
      <c r="BF157" s="468"/>
      <c r="BG157" s="468"/>
      <c r="BH157" s="468"/>
      <c r="BI157" s="113">
        <f>BI158</f>
        <v>8200</v>
      </c>
      <c r="BJ157" s="113">
        <f t="shared" ref="BJ157:BL157" si="170">BJ158</f>
        <v>0</v>
      </c>
      <c r="BK157" s="113">
        <f t="shared" si="170"/>
        <v>0</v>
      </c>
      <c r="BL157" s="113">
        <f t="shared" si="170"/>
        <v>0</v>
      </c>
      <c r="BM157" s="278">
        <f t="shared" si="167"/>
        <v>8200</v>
      </c>
      <c r="BN157" s="104"/>
      <c r="BO157" s="105"/>
      <c r="BP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7"/>
      <c r="CP157" s="27"/>
      <c r="CQ157" s="27"/>
      <c r="CR157" s="27"/>
      <c r="CS157" s="27"/>
      <c r="CT157" s="27"/>
      <c r="CU157" s="27"/>
      <c r="CV157" s="27"/>
      <c r="CW157" s="27"/>
      <c r="CX157" s="27"/>
      <c r="CY157" s="27"/>
      <c r="CZ157" s="27"/>
      <c r="DA157" s="27"/>
      <c r="DB157" s="27"/>
      <c r="DC157" s="27"/>
      <c r="DD157" s="27"/>
      <c r="DE157" s="27"/>
    </row>
    <row r="158" spans="1:109" s="1" customFormat="1" ht="25.5">
      <c r="A158" s="116"/>
      <c r="B158" s="90"/>
      <c r="C158" s="89" t="s">
        <v>248</v>
      </c>
      <c r="D158" s="106"/>
      <c r="E158" s="94"/>
      <c r="F158" s="94"/>
      <c r="G158" s="94"/>
      <c r="H158" s="98"/>
      <c r="I158" s="98"/>
      <c r="J158" s="98"/>
      <c r="K158" s="98"/>
      <c r="L158" s="91"/>
      <c r="M158" s="91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  <c r="AB158" s="92"/>
      <c r="AC158" s="92"/>
      <c r="AD158" s="109"/>
      <c r="AE158" s="92"/>
      <c r="AF158" s="92"/>
      <c r="AG158" s="92"/>
      <c r="AH158" s="92"/>
      <c r="AI158" s="92"/>
      <c r="AJ158" s="92"/>
      <c r="AK158" s="92"/>
      <c r="AL158" s="92"/>
      <c r="AM158" s="92"/>
      <c r="AN158" s="9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/>
      <c r="AY158" s="92"/>
      <c r="AZ158" s="92"/>
      <c r="BA158" s="92"/>
      <c r="BB158" s="92"/>
      <c r="BC158" s="92"/>
      <c r="BD158" s="92"/>
      <c r="BE158" s="92"/>
      <c r="BF158" s="92"/>
      <c r="BG158" s="92"/>
      <c r="BH158" s="92"/>
      <c r="BI158" s="128">
        <v>8200</v>
      </c>
      <c r="BJ158" s="128"/>
      <c r="BK158" s="128"/>
      <c r="BL158" s="128">
        <v>0</v>
      </c>
      <c r="BM158" s="461">
        <f t="shared" si="167"/>
        <v>8200</v>
      </c>
      <c r="BN158" s="104"/>
      <c r="BO158" s="105"/>
      <c r="BP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7"/>
      <c r="CP158" s="27"/>
      <c r="CQ158" s="27"/>
      <c r="CR158" s="27"/>
      <c r="CS158" s="27"/>
      <c r="CT158" s="27"/>
      <c r="CU158" s="27"/>
      <c r="CV158" s="27"/>
      <c r="CW158" s="27"/>
      <c r="CX158" s="27"/>
      <c r="CY158" s="27"/>
      <c r="CZ158" s="27"/>
      <c r="DA158" s="27"/>
      <c r="DB158" s="27"/>
      <c r="DC158" s="27"/>
      <c r="DD158" s="27"/>
      <c r="DE158" s="27"/>
    </row>
    <row r="159" spans="1:109" s="1" customFormat="1" ht="15">
      <c r="A159" s="116"/>
      <c r="B159" s="90" t="s">
        <v>109</v>
      </c>
      <c r="C159" s="85" t="s">
        <v>9</v>
      </c>
      <c r="D159" s="106"/>
      <c r="E159" s="94"/>
      <c r="F159" s="94"/>
      <c r="G159" s="94"/>
      <c r="H159" s="98"/>
      <c r="I159" s="98"/>
      <c r="J159" s="98"/>
      <c r="K159" s="98"/>
      <c r="L159" s="91"/>
      <c r="M159" s="91"/>
      <c r="N159" s="468"/>
      <c r="O159" s="468"/>
      <c r="P159" s="468"/>
      <c r="Q159" s="468"/>
      <c r="R159" s="468"/>
      <c r="S159" s="468"/>
      <c r="T159" s="468"/>
      <c r="U159" s="468"/>
      <c r="V159" s="468"/>
      <c r="W159" s="468"/>
      <c r="X159" s="468"/>
      <c r="Y159" s="468"/>
      <c r="Z159" s="468"/>
      <c r="AA159" s="468"/>
      <c r="AB159" s="468"/>
      <c r="AC159" s="468"/>
      <c r="AD159" s="90" t="s">
        <v>78</v>
      </c>
      <c r="AE159" s="92"/>
      <c r="AF159" s="92"/>
      <c r="AG159" s="92"/>
      <c r="AH159" s="92"/>
      <c r="AI159" s="92"/>
      <c r="AJ159" s="92"/>
      <c r="AK159" s="92"/>
      <c r="AL159" s="92"/>
      <c r="AM159" s="92"/>
      <c r="AN159" s="92"/>
      <c r="AO159" s="92"/>
      <c r="AP159" s="92"/>
      <c r="AQ159" s="92"/>
      <c r="AR159" s="92"/>
      <c r="AS159" s="92"/>
      <c r="AT159" s="92"/>
      <c r="AU159" s="92"/>
      <c r="AV159" s="92"/>
      <c r="AW159" s="92"/>
      <c r="AX159" s="92"/>
      <c r="AY159" s="92"/>
      <c r="AZ159" s="92"/>
      <c r="BA159" s="92"/>
      <c r="BB159" s="92"/>
      <c r="BC159" s="92"/>
      <c r="BD159" s="92"/>
      <c r="BE159" s="92"/>
      <c r="BF159" s="92"/>
      <c r="BG159" s="92"/>
      <c r="BH159" s="92"/>
      <c r="BI159" s="113">
        <f>BI160</f>
        <v>2700</v>
      </c>
      <c r="BJ159" s="113">
        <f t="shared" ref="BJ159:BL159" si="171">BJ160</f>
        <v>0</v>
      </c>
      <c r="BK159" s="113">
        <f t="shared" si="171"/>
        <v>0</v>
      </c>
      <c r="BL159" s="113">
        <f t="shared" si="171"/>
        <v>0</v>
      </c>
      <c r="BM159" s="278">
        <f t="shared" si="167"/>
        <v>2700</v>
      </c>
      <c r="BN159" s="104"/>
      <c r="BO159" s="105"/>
      <c r="BP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7"/>
      <c r="CP159" s="27"/>
      <c r="CQ159" s="27"/>
      <c r="CR159" s="27"/>
      <c r="CS159" s="27"/>
      <c r="CT159" s="27"/>
      <c r="CU159" s="27"/>
      <c r="CV159" s="27"/>
      <c r="CW159" s="27"/>
      <c r="CX159" s="27"/>
      <c r="CY159" s="27"/>
      <c r="CZ159" s="27"/>
      <c r="DA159" s="27"/>
      <c r="DB159" s="27"/>
      <c r="DC159" s="27"/>
      <c r="DD159" s="27"/>
      <c r="DE159" s="27"/>
    </row>
    <row r="160" spans="1:109" s="1" customFormat="1" ht="15" customHeight="1">
      <c r="A160" s="116"/>
      <c r="B160" s="90"/>
      <c r="C160" s="89" t="s">
        <v>249</v>
      </c>
      <c r="D160" s="106"/>
      <c r="E160" s="94"/>
      <c r="F160" s="94"/>
      <c r="G160" s="94"/>
      <c r="H160" s="98"/>
      <c r="I160" s="98"/>
      <c r="J160" s="98"/>
      <c r="K160" s="98"/>
      <c r="L160" s="91"/>
      <c r="M160" s="91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92"/>
      <c r="AB160" s="92"/>
      <c r="AC160" s="92"/>
      <c r="AD160" s="109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/>
      <c r="AY160" s="92"/>
      <c r="AZ160" s="92"/>
      <c r="BA160" s="92"/>
      <c r="BB160" s="92"/>
      <c r="BC160" s="92"/>
      <c r="BD160" s="92"/>
      <c r="BE160" s="92"/>
      <c r="BF160" s="92"/>
      <c r="BG160" s="92"/>
      <c r="BH160" s="92"/>
      <c r="BI160" s="128">
        <v>2700</v>
      </c>
      <c r="BJ160" s="128"/>
      <c r="BK160" s="128"/>
      <c r="BL160" s="128">
        <v>0</v>
      </c>
      <c r="BM160" s="461">
        <f t="shared" si="167"/>
        <v>2700</v>
      </c>
      <c r="BN160" s="104"/>
      <c r="BO160" s="105"/>
      <c r="BP160" s="26"/>
      <c r="BZ160" s="26"/>
      <c r="CA160" s="26"/>
      <c r="CB160" s="26"/>
      <c r="CC160" s="26"/>
      <c r="CD160" s="26"/>
      <c r="CE160" s="26"/>
      <c r="CF160" s="26"/>
      <c r="CG160" s="26"/>
      <c r="CH160" s="26"/>
      <c r="CI160" s="26"/>
      <c r="CJ160" s="26"/>
      <c r="CK160" s="26"/>
      <c r="CL160" s="26"/>
      <c r="CM160" s="26"/>
      <c r="CN160" s="26"/>
      <c r="CO160" s="27"/>
      <c r="CP160" s="27"/>
      <c r="CQ160" s="27"/>
      <c r="CR160" s="27"/>
      <c r="CS160" s="27"/>
      <c r="CT160" s="27"/>
      <c r="CU160" s="27"/>
      <c r="CV160" s="27"/>
      <c r="CW160" s="27"/>
      <c r="CX160" s="27"/>
      <c r="CY160" s="27"/>
      <c r="CZ160" s="27"/>
      <c r="DA160" s="27"/>
      <c r="DB160" s="27"/>
      <c r="DC160" s="27"/>
      <c r="DD160" s="27"/>
      <c r="DE160" s="27"/>
    </row>
    <row r="161" spans="1:109" s="1" customFormat="1" ht="15">
      <c r="A161" s="467" t="s">
        <v>11</v>
      </c>
      <c r="B161" s="467"/>
      <c r="C161" s="467"/>
      <c r="D161" s="131"/>
      <c r="E161" s="133"/>
      <c r="F161" s="133"/>
      <c r="G161" s="133"/>
      <c r="H161" s="134"/>
      <c r="I161" s="134"/>
      <c r="J161" s="134"/>
      <c r="K161" s="134"/>
      <c r="L161" s="135"/>
      <c r="M161" s="135"/>
      <c r="N161" s="114"/>
      <c r="O161" s="114"/>
      <c r="P161" s="114"/>
      <c r="Q161" s="114"/>
      <c r="R161" s="114"/>
      <c r="S161" s="114"/>
      <c r="T161" s="114"/>
      <c r="U161" s="114"/>
      <c r="V161" s="114"/>
      <c r="W161" s="114"/>
      <c r="X161" s="114"/>
      <c r="Y161" s="114"/>
      <c r="Z161" s="114"/>
      <c r="AA161" s="114"/>
      <c r="AB161" s="114"/>
      <c r="AC161" s="114"/>
      <c r="AD161" s="124"/>
      <c r="AE161" s="114"/>
      <c r="AF161" s="114"/>
      <c r="AG161" s="114"/>
      <c r="AH161" s="114"/>
      <c r="AI161" s="114"/>
      <c r="AJ161" s="114"/>
      <c r="AK161" s="114"/>
      <c r="AL161" s="114"/>
      <c r="AM161" s="114"/>
      <c r="AN161" s="114"/>
      <c r="AO161" s="114"/>
      <c r="AP161" s="114"/>
      <c r="AQ161" s="114"/>
      <c r="AR161" s="114"/>
      <c r="AS161" s="114"/>
      <c r="AT161" s="114"/>
      <c r="AU161" s="114"/>
      <c r="AV161" s="114"/>
      <c r="AW161" s="114"/>
      <c r="AX161" s="114"/>
      <c r="AY161" s="114"/>
      <c r="AZ161" s="114"/>
      <c r="BA161" s="114"/>
      <c r="BB161" s="114"/>
      <c r="BC161" s="114"/>
      <c r="BD161" s="114"/>
      <c r="BE161" s="114"/>
      <c r="BF161" s="114"/>
      <c r="BG161" s="114"/>
      <c r="BH161" s="114"/>
      <c r="BI161" s="114">
        <f>BI148+BI149+BI150+BI151+BI153+BI155+BI157+BI159</f>
        <v>742600</v>
      </c>
      <c r="BJ161" s="114">
        <f t="shared" ref="BJ161:BL161" si="172">BJ148+BJ149+BJ150+BJ151+BJ153+BJ155+BJ157+BJ159</f>
        <v>667600</v>
      </c>
      <c r="BK161" s="114">
        <f t="shared" si="172"/>
        <v>667600</v>
      </c>
      <c r="BL161" s="114">
        <f t="shared" si="172"/>
        <v>0</v>
      </c>
      <c r="BM161" s="114">
        <f>BI161+BL161</f>
        <v>742600</v>
      </c>
      <c r="BN161" s="104"/>
      <c r="BO161" s="105"/>
      <c r="BP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</row>
    <row r="162" spans="1:109" s="99" customFormat="1">
      <c r="A162" s="481" t="s">
        <v>60</v>
      </c>
      <c r="B162" s="482"/>
      <c r="C162" s="483"/>
      <c r="D162" s="178" t="e">
        <f>#REF!+#REF!+#REF!+#REF!+#REF!+#REF!+#REF!+#REF!+#REF!+D109</f>
        <v>#REF!</v>
      </c>
      <c r="E162" s="178" t="e">
        <f>#REF!+#REF!+#REF!+#REF!+#REF!+#REF!+#REF!+#REF!+#REF!+E109</f>
        <v>#REF!</v>
      </c>
      <c r="F162" s="178" t="e">
        <f>#REF!+#REF!+#REF!+#REF!+#REF!+#REF!+#REF!+#REF!+#REF!+F109</f>
        <v>#REF!</v>
      </c>
      <c r="G162" s="179" t="e">
        <f>#REF!+#REF!+#REF!+#REF!+#REF!+#REF!+#REF!+#REF!+G109+#REF!+#REF!+#REF!</f>
        <v>#REF!</v>
      </c>
      <c r="H162" s="179" t="e">
        <f>D162+G162</f>
        <v>#REF!</v>
      </c>
      <c r="I162" s="179" t="e">
        <f>#REF!+#REF!+#REF!+#REF!+#REF!+#REF!+#REF!+#REF!+#REF!+#REF!+I109+#REF!</f>
        <v>#REF!</v>
      </c>
      <c r="J162" s="179" t="e">
        <f>#REF!+#REF!+#REF!+#REF!+#REF!+#REF!+#REF!+#REF!+#REF!+#REF!+#REF!+J109+#REF!</f>
        <v>#REF!</v>
      </c>
      <c r="K162" s="179" t="e">
        <f>#REF!+#REF!+#REF!+#REF!+#REF!+#REF!+#REF!+#REF!+K109+#REF!</f>
        <v>#REF!</v>
      </c>
      <c r="L162" s="179" t="e">
        <f>#REF!+#REF!+#REF!+#REF!</f>
        <v>#REF!</v>
      </c>
      <c r="M162" s="179" t="e">
        <f>#REF!+#REF!</f>
        <v>#REF!</v>
      </c>
      <c r="N162" s="179" t="e">
        <f>J162+M162</f>
        <v>#REF!</v>
      </c>
      <c r="O162" s="179" t="e">
        <f>#REF!</f>
        <v>#REF!</v>
      </c>
      <c r="P162" s="179" t="e">
        <f>#REF!+P109+#REF!+#REF!+#REF!+#REF!+#REF!+#REF!+#REF!+#REF!+#REF!+#REF!+#REF!</f>
        <v>#REF!</v>
      </c>
      <c r="Q162" s="179" t="e">
        <f>#REF!</f>
        <v>#REF!</v>
      </c>
      <c r="R162" s="179" t="e">
        <f>#REF!+R109+#REF!+#REF!+#REF!+#REF!+#REF!+#REF!+#REF!+#REF!+#REF!+#REF!</f>
        <v>#REF!</v>
      </c>
      <c r="S162" s="179" t="e">
        <f>#REF!+#REF!</f>
        <v>#REF!</v>
      </c>
      <c r="T162" s="179" t="e">
        <f>R162+S162</f>
        <v>#REF!</v>
      </c>
      <c r="U162" s="179" t="e">
        <f>#REF!</f>
        <v>#REF!</v>
      </c>
      <c r="V162" s="179" t="e">
        <f>T162+U162</f>
        <v>#REF!</v>
      </c>
      <c r="W162" s="179" t="e">
        <f>#REF!</f>
        <v>#REF!</v>
      </c>
      <c r="X162" s="179" t="e">
        <f>V162+W162</f>
        <v>#REF!</v>
      </c>
      <c r="Y162" s="179" t="e">
        <f>#REF!</f>
        <v>#REF!</v>
      </c>
      <c r="Z162" s="179" t="e">
        <f>X162+Y162</f>
        <v>#REF!</v>
      </c>
      <c r="AA162" s="179" t="e">
        <f>#REF!</f>
        <v>#REF!</v>
      </c>
      <c r="AB162" s="179" t="e">
        <f>Z162+AA162</f>
        <v>#REF!</v>
      </c>
      <c r="AC162" s="179" t="e">
        <f>#REF!</f>
        <v>#REF!</v>
      </c>
      <c r="AD162" s="180"/>
      <c r="AE162" s="179" t="e">
        <f>AE109+#REF!+#REF!+#REF!+#REF!+#REF!+#REF!+#REF!</f>
        <v>#REF!</v>
      </c>
      <c r="AF162" s="179" t="e">
        <f>AF109+#REF!+#REF!+#REF!</f>
        <v>#REF!</v>
      </c>
      <c r="AG162" s="179" t="e">
        <f>AG109+#REF!+#REF!+#REF!+#REF!+#REF!+#REF!+#REF!+#REF!</f>
        <v>#REF!</v>
      </c>
      <c r="AH162" s="179" t="e">
        <f>#REF!+#REF!</f>
        <v>#REF!</v>
      </c>
      <c r="AI162" s="179" t="e">
        <f>AG162+AH162</f>
        <v>#REF!</v>
      </c>
      <c r="AJ162" s="179" t="e">
        <f>AJ109+#REF!</f>
        <v>#REF!</v>
      </c>
      <c r="AK162" s="179" t="e">
        <f>AI162+AJ162</f>
        <v>#REF!</v>
      </c>
      <c r="AL162" s="179" t="e">
        <f>#REF!</f>
        <v>#REF!</v>
      </c>
      <c r="AM162" s="179" t="e">
        <f>AK162+AL162</f>
        <v>#REF!</v>
      </c>
      <c r="AN162" s="179" t="e">
        <f>#REF!</f>
        <v>#REF!</v>
      </c>
      <c r="AO162" s="179" t="e">
        <f>AM162+AN162</f>
        <v>#REF!</v>
      </c>
      <c r="AP162" s="179" t="e">
        <f>#REF!</f>
        <v>#REF!</v>
      </c>
      <c r="AQ162" s="179" t="e">
        <f>AO162+AP162</f>
        <v>#REF!</v>
      </c>
      <c r="AR162" s="179" t="e">
        <f>AR109+#REF!</f>
        <v>#REF!</v>
      </c>
      <c r="AS162" s="179" t="e">
        <f>AQ162+AR162</f>
        <v>#REF!</v>
      </c>
      <c r="AT162" s="179" t="e">
        <f>#REF!</f>
        <v>#REF!</v>
      </c>
      <c r="AU162" s="179" t="e">
        <f>AS162+AT162</f>
        <v>#REF!</v>
      </c>
      <c r="AV162" s="179" t="e">
        <f>#REF!</f>
        <v>#REF!</v>
      </c>
      <c r="AW162" s="179" t="e">
        <f>AW109+#REF!+#REF!+#REF!+#REF!+#REF!+#REF!+#REF!+#REF!+#REF!+#REF!</f>
        <v>#REF!</v>
      </c>
      <c r="AX162" s="179" t="e">
        <f>AX109+#REF!+#REF!+#REF!+#REF!+#REF!+#REF!+#REF!+#REF!+#REF!+#REF!</f>
        <v>#REF!</v>
      </c>
      <c r="AY162" s="179" t="e">
        <f>AY109+#REF!+#REF!+#REF!+#REF!+#REF!+#REF!+#REF!+#REF!+#REF!+#REF!</f>
        <v>#REF!</v>
      </c>
      <c r="AZ162" s="179" t="e">
        <f>AZ109+#REF!+#REF!+#REF!+#REF!+#REF!+#REF!+#REF!+#REF!+#REF!+#REF!</f>
        <v>#REF!</v>
      </c>
      <c r="BA162" s="179" t="e">
        <f>#REF!+#REF!+#REF!+#REF!+#REF!+#REF!+#REF!+#REF!+#REF!+#REF!+BA109</f>
        <v>#REF!</v>
      </c>
      <c r="BB162" s="179"/>
      <c r="BC162" s="179" t="e">
        <f>#REF!+#REF!+#REF!+#REF!+#REF!+#REF!+#REF!+#REF!+#REF!+#REF!+BC109</f>
        <v>#REF!</v>
      </c>
      <c r="BD162" s="179" t="e">
        <f>#REF!+#REF!+#REF!+#REF!+#REF!+#REF!+#REF!+#REF!+#REF!+#REF!+BD109+#REF!</f>
        <v>#REF!</v>
      </c>
      <c r="BE162" s="179" t="e">
        <f>#REF!+#REF!+#REF!+#REF!+#REF!+#REF!+#REF!+#REF!+#REF!+#REF!+BE109+#REF!</f>
        <v>#REF!</v>
      </c>
      <c r="BF162" s="179" t="e">
        <f>#REF!+#REF!+#REF!+#REF!+#REF!+#REF!+#REF!+#REF!+#REF!+#REF!+BF109+#REF!</f>
        <v>#REF!</v>
      </c>
      <c r="BG162" s="179" t="e">
        <f>#REF!+#REF!+#REF!+#REF!+#REF!+#REF!+#REF!+#REF!+#REF!+#REF!+BG109+#REF!</f>
        <v>#REF!</v>
      </c>
      <c r="BH162" s="179">
        <v>0</v>
      </c>
      <c r="BI162" s="179">
        <f>BI7+BI24+BI31+BI36+BI77+BI101+BI104+BI109+BI114+BI147+BI161+BI10+BI13</f>
        <v>11003135.09</v>
      </c>
      <c r="BJ162" s="179">
        <f ca="1">BJ7+BJ24+BJ31+BJ36+BJ77+BJ101+BJ104+BJ109+BJ114+BJ147+BJ161+BJ10+BJ13</f>
        <v>10458576.09</v>
      </c>
      <c r="BK162" s="179">
        <f ca="1">BK7+BK24+BK31+BK36+BK77+BK101+BK104+BK109+BK114+BK147+BK161+BK10+BK13</f>
        <v>10458576.09</v>
      </c>
      <c r="BL162" s="179">
        <f>BL7+BL24+BL31+BL36+BL77+BL101+BL104+BL109+BL114+BL147+BL161+BL10+BL13</f>
        <v>0</v>
      </c>
      <c r="BM162" s="179">
        <f>BI162+BL162</f>
        <v>11003135.09</v>
      </c>
      <c r="BN162" s="96"/>
      <c r="BO162" s="115"/>
      <c r="BP162" s="96"/>
      <c r="BQ162" s="96"/>
      <c r="BR162" s="96"/>
      <c r="BS162" s="96"/>
      <c r="BT162" s="96"/>
      <c r="BU162" s="96"/>
      <c r="BV162" s="96"/>
      <c r="BW162" s="96"/>
      <c r="BX162" s="96"/>
      <c r="BY162" s="96"/>
      <c r="BZ162" s="96"/>
      <c r="CA162" s="96"/>
      <c r="CB162" s="96"/>
      <c r="CC162" s="96"/>
      <c r="CD162" s="96"/>
      <c r="CE162" s="96"/>
      <c r="CF162" s="96"/>
      <c r="CG162" s="96"/>
      <c r="CH162" s="96"/>
      <c r="CI162" s="96"/>
      <c r="CJ162" s="96"/>
      <c r="CK162" s="96"/>
      <c r="CL162" s="96"/>
      <c r="CM162" s="96"/>
      <c r="CN162" s="96"/>
      <c r="CO162" s="96"/>
      <c r="CP162" s="96"/>
      <c r="CQ162" s="96"/>
      <c r="CR162" s="96"/>
    </row>
    <row r="163" spans="1:109" s="99" customFormat="1">
      <c r="A163" s="170"/>
      <c r="B163" s="170"/>
      <c r="C163" s="170"/>
      <c r="D163" s="171"/>
      <c r="E163" s="171"/>
      <c r="F163" s="171"/>
      <c r="G163" s="172"/>
      <c r="H163" s="172"/>
      <c r="I163" s="172"/>
      <c r="J163" s="172"/>
      <c r="K163" s="172"/>
      <c r="L163" s="172"/>
      <c r="M163" s="172"/>
      <c r="N163" s="172"/>
      <c r="O163" s="172"/>
      <c r="P163" s="172"/>
      <c r="Q163" s="172"/>
      <c r="R163" s="172"/>
      <c r="S163" s="172"/>
      <c r="T163" s="172"/>
      <c r="U163" s="172"/>
      <c r="V163" s="172"/>
      <c r="W163" s="172"/>
      <c r="X163" s="172"/>
      <c r="Y163" s="172"/>
      <c r="Z163" s="172"/>
      <c r="AA163" s="172"/>
      <c r="AB163" s="172"/>
      <c r="AC163" s="172"/>
      <c r="AD163" s="173"/>
      <c r="AE163" s="172"/>
      <c r="AF163" s="172"/>
      <c r="AG163" s="172"/>
      <c r="AH163" s="172"/>
      <c r="AI163" s="172"/>
      <c r="AJ163" s="172"/>
      <c r="AK163" s="172"/>
      <c r="AL163" s="172"/>
      <c r="AM163" s="172"/>
      <c r="AN163" s="172"/>
      <c r="AO163" s="172"/>
      <c r="AP163" s="172"/>
      <c r="AQ163" s="172"/>
      <c r="AR163" s="172"/>
      <c r="AS163" s="172"/>
      <c r="AT163" s="172"/>
      <c r="AU163" s="172"/>
      <c r="AV163" s="172"/>
      <c r="AW163" s="172"/>
      <c r="AX163" s="172"/>
      <c r="AY163" s="172"/>
      <c r="AZ163" s="172"/>
      <c r="BA163" s="174"/>
      <c r="BB163" s="174"/>
      <c r="BC163" s="174"/>
      <c r="BD163" s="174"/>
      <c r="BE163" s="174"/>
      <c r="BF163" s="174"/>
      <c r="BG163" s="174"/>
      <c r="BH163" s="174"/>
      <c r="BI163" s="174"/>
      <c r="BJ163" s="174"/>
      <c r="BK163" s="174"/>
      <c r="BL163" s="174"/>
      <c r="BM163" s="174"/>
      <c r="BN163" s="96"/>
      <c r="BO163" s="115"/>
      <c r="BP163" s="96"/>
      <c r="BQ163" s="96"/>
      <c r="BR163" s="96"/>
      <c r="BS163" s="96"/>
      <c r="BT163" s="96"/>
      <c r="BU163" s="96"/>
      <c r="BV163" s="96"/>
      <c r="BW163" s="96"/>
      <c r="BX163" s="96"/>
      <c r="BY163" s="96"/>
      <c r="BZ163" s="96"/>
      <c r="CA163" s="96"/>
      <c r="CB163" s="96"/>
      <c r="CC163" s="96"/>
      <c r="CD163" s="96"/>
      <c r="CE163" s="96"/>
      <c r="CF163" s="96"/>
      <c r="CG163" s="96"/>
      <c r="CH163" s="96"/>
      <c r="CI163" s="96"/>
      <c r="CJ163" s="96"/>
      <c r="CK163" s="96"/>
      <c r="CL163" s="96"/>
      <c r="CM163" s="96"/>
      <c r="CN163" s="96"/>
      <c r="CO163" s="96"/>
      <c r="CP163" s="96"/>
      <c r="CQ163" s="96"/>
      <c r="CR163" s="96"/>
    </row>
    <row r="164" spans="1:109" s="99" customFormat="1">
      <c r="A164" s="175"/>
      <c r="B164" s="175">
        <v>211</v>
      </c>
      <c r="C164" s="164" t="s">
        <v>3</v>
      </c>
      <c r="D164" s="176"/>
      <c r="E164" s="176"/>
      <c r="F164" s="176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77" t="s">
        <v>79</v>
      </c>
      <c r="AE164" s="113"/>
      <c r="AF164" s="113"/>
      <c r="AG164" s="113"/>
      <c r="AH164" s="113"/>
      <c r="AI164" s="113"/>
      <c r="AJ164" s="113"/>
      <c r="AK164" s="113"/>
      <c r="AL164" s="113"/>
      <c r="AM164" s="113"/>
      <c r="AN164" s="113"/>
      <c r="AO164" s="113"/>
      <c r="AP164" s="113"/>
      <c r="AQ164" s="113"/>
      <c r="AR164" s="113"/>
      <c r="AS164" s="113"/>
      <c r="AT164" s="113"/>
      <c r="AU164" s="113"/>
      <c r="AV164" s="113"/>
      <c r="AW164" s="113"/>
      <c r="AX164" s="113"/>
      <c r="AY164" s="113"/>
      <c r="AZ164" s="113"/>
      <c r="BA164" s="113"/>
      <c r="BB164" s="113"/>
      <c r="BC164" s="113"/>
      <c r="BD164" s="113"/>
      <c r="BE164" s="113"/>
      <c r="BF164" s="113"/>
      <c r="BG164" s="113"/>
      <c r="BH164" s="113"/>
      <c r="BI164" s="113">
        <f>BI4+BI37+BI78+BI102+BI148+BI8+BI11</f>
        <v>6093698.6699999999</v>
      </c>
      <c r="BJ164" s="113">
        <f>BJ4+BJ37+BJ78+BJ102+BJ148+BJ8+BJ11</f>
        <v>6010888.0299999993</v>
      </c>
      <c r="BK164" s="113">
        <f>BK4+BK37+BK78+BK102+BK148+BK8+BK11</f>
        <v>6010888.0299999993</v>
      </c>
      <c r="BL164" s="113">
        <f>BL4+BL37+BL78+BL102+BL148+BL8+BL11</f>
        <v>0</v>
      </c>
      <c r="BM164" s="113">
        <f>BI164+BL164</f>
        <v>6093698.6699999999</v>
      </c>
      <c r="BN164" s="96"/>
      <c r="BO164" s="96"/>
      <c r="BP164" s="96"/>
      <c r="BQ164" s="96"/>
      <c r="BR164" s="96"/>
      <c r="BS164" s="96"/>
      <c r="BT164" s="96"/>
      <c r="BU164" s="96"/>
      <c r="BV164" s="96"/>
      <c r="BW164" s="96"/>
      <c r="BX164" s="96"/>
      <c r="BY164" s="96"/>
      <c r="BZ164" s="96"/>
      <c r="CA164" s="96"/>
      <c r="CB164" s="96"/>
      <c r="CC164" s="96"/>
      <c r="CD164" s="96"/>
      <c r="CE164" s="96"/>
      <c r="CF164" s="96"/>
      <c r="CG164" s="96"/>
      <c r="CH164" s="96"/>
      <c r="CI164" s="96"/>
      <c r="CJ164" s="96"/>
      <c r="CK164" s="96"/>
      <c r="CL164" s="96"/>
      <c r="CM164" s="96"/>
      <c r="CN164" s="96"/>
      <c r="CO164" s="96"/>
      <c r="CP164" s="96"/>
      <c r="CQ164" s="96"/>
      <c r="CR164" s="96"/>
    </row>
    <row r="165" spans="1:109" s="99" customFormat="1">
      <c r="A165" s="175"/>
      <c r="B165" s="175">
        <v>213</v>
      </c>
      <c r="C165" s="164" t="s">
        <v>4</v>
      </c>
      <c r="D165" s="176"/>
      <c r="E165" s="176"/>
      <c r="F165" s="176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  <c r="AD165" s="177" t="s">
        <v>80</v>
      </c>
      <c r="AE165" s="113"/>
      <c r="AF165" s="113"/>
      <c r="AG165" s="113"/>
      <c r="AH165" s="113"/>
      <c r="AI165" s="113"/>
      <c r="AJ165" s="113"/>
      <c r="AK165" s="113"/>
      <c r="AL165" s="113"/>
      <c r="AM165" s="113"/>
      <c r="AN165" s="113"/>
      <c r="AO165" s="113"/>
      <c r="AP165" s="113"/>
      <c r="AQ165" s="113"/>
      <c r="AR165" s="113"/>
      <c r="AS165" s="113"/>
      <c r="AT165" s="113"/>
      <c r="AU165" s="113"/>
      <c r="AV165" s="113"/>
      <c r="AW165" s="113"/>
      <c r="AX165" s="113"/>
      <c r="AY165" s="113"/>
      <c r="AZ165" s="113"/>
      <c r="BA165" s="113"/>
      <c r="BB165" s="113"/>
      <c r="BC165" s="113"/>
      <c r="BD165" s="113"/>
      <c r="BE165" s="113"/>
      <c r="BF165" s="113"/>
      <c r="BG165" s="113"/>
      <c r="BH165" s="113"/>
      <c r="BI165" s="113">
        <f>BI5+BI38+BI79+BI103+BI149+BI9+BI12</f>
        <v>1852375.1800000004</v>
      </c>
      <c r="BJ165" s="113">
        <f>BJ5+BJ38+BJ79+BJ103+BJ149+BJ9+BJ12</f>
        <v>1818125.48</v>
      </c>
      <c r="BK165" s="113">
        <f>BK5+BK38+BK79+BK103+BK149+BK9+BK12</f>
        <v>1818125.48</v>
      </c>
      <c r="BL165" s="113">
        <f>BL5+BL38+BL79+BL103+BL149+BL9+BL12</f>
        <v>0</v>
      </c>
      <c r="BM165" s="113">
        <f t="shared" ref="BM165:BM179" si="173">BI165+BL165</f>
        <v>1852375.1800000004</v>
      </c>
      <c r="BN165" s="96"/>
      <c r="BO165" s="96"/>
      <c r="BP165" s="96"/>
      <c r="BQ165" s="96"/>
      <c r="BR165" s="96"/>
      <c r="BS165" s="96"/>
      <c r="BT165" s="96"/>
      <c r="BU165" s="96"/>
      <c r="BV165" s="96"/>
      <c r="BW165" s="96"/>
      <c r="BX165" s="96"/>
      <c r="BY165" s="96"/>
      <c r="BZ165" s="96"/>
      <c r="CA165" s="96"/>
      <c r="CB165" s="96"/>
      <c r="CC165" s="96"/>
      <c r="CD165" s="96"/>
      <c r="CE165" s="96"/>
      <c r="CF165" s="96"/>
      <c r="CG165" s="96"/>
      <c r="CH165" s="96"/>
      <c r="CI165" s="96"/>
      <c r="CJ165" s="96"/>
      <c r="CK165" s="96"/>
      <c r="CL165" s="96"/>
      <c r="CM165" s="96"/>
      <c r="CN165" s="96"/>
      <c r="CO165" s="96"/>
      <c r="CP165" s="96"/>
      <c r="CQ165" s="96"/>
      <c r="CR165" s="96"/>
    </row>
    <row r="166" spans="1:109" s="99" customFormat="1">
      <c r="A166" s="175"/>
      <c r="B166" s="175">
        <v>221</v>
      </c>
      <c r="C166" s="152" t="s">
        <v>1</v>
      </c>
      <c r="D166" s="176"/>
      <c r="E166" s="176"/>
      <c r="F166" s="176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  <c r="AA166" s="113"/>
      <c r="AB166" s="113"/>
      <c r="AC166" s="113"/>
      <c r="AD166" s="177" t="s">
        <v>78</v>
      </c>
      <c r="AE166" s="113"/>
      <c r="AF166" s="113"/>
      <c r="AG166" s="113"/>
      <c r="AH166" s="113"/>
      <c r="AI166" s="113"/>
      <c r="AJ166" s="113"/>
      <c r="AK166" s="113"/>
      <c r="AL166" s="113"/>
      <c r="AM166" s="113"/>
      <c r="AN166" s="113"/>
      <c r="AO166" s="113"/>
      <c r="AP166" s="113"/>
      <c r="AQ166" s="113"/>
      <c r="AR166" s="113"/>
      <c r="AS166" s="113"/>
      <c r="AT166" s="113"/>
      <c r="AU166" s="113"/>
      <c r="AV166" s="113"/>
      <c r="AW166" s="113"/>
      <c r="AX166" s="113"/>
      <c r="AY166" s="113"/>
      <c r="AZ166" s="113"/>
      <c r="BA166" s="113"/>
      <c r="BB166" s="113"/>
      <c r="BC166" s="113"/>
      <c r="BD166" s="113"/>
      <c r="BE166" s="113"/>
      <c r="BF166" s="113"/>
      <c r="BG166" s="113"/>
      <c r="BH166" s="113"/>
      <c r="BI166" s="113">
        <f>BI81</f>
        <v>41000</v>
      </c>
      <c r="BJ166" s="113">
        <f t="shared" ref="BJ166:BK166" si="174">BJ81</f>
        <v>0</v>
      </c>
      <c r="BK166" s="113">
        <f t="shared" si="174"/>
        <v>0</v>
      </c>
      <c r="BL166" s="113">
        <f>BL81</f>
        <v>0</v>
      </c>
      <c r="BM166" s="113">
        <f t="shared" si="173"/>
        <v>41000</v>
      </c>
      <c r="BN166" s="96"/>
      <c r="BO166" s="96"/>
      <c r="BP166" s="96"/>
      <c r="BQ166" s="96"/>
      <c r="BR166" s="96"/>
      <c r="BS166" s="96"/>
      <c r="BT166" s="96"/>
      <c r="BU166" s="96"/>
      <c r="BV166" s="96"/>
      <c r="BW166" s="96"/>
      <c r="BX166" s="96"/>
      <c r="BY166" s="96"/>
      <c r="BZ166" s="96"/>
      <c r="CA166" s="96"/>
      <c r="CB166" s="96"/>
      <c r="CC166" s="96"/>
      <c r="CD166" s="96"/>
      <c r="CE166" s="96"/>
      <c r="CF166" s="96"/>
      <c r="CG166" s="96"/>
      <c r="CH166" s="96"/>
      <c r="CI166" s="96"/>
      <c r="CJ166" s="96"/>
      <c r="CK166" s="96"/>
      <c r="CL166" s="96"/>
      <c r="CM166" s="96"/>
      <c r="CN166" s="96"/>
      <c r="CO166" s="96"/>
      <c r="CP166" s="96"/>
      <c r="CQ166" s="96"/>
      <c r="CR166" s="96"/>
    </row>
    <row r="167" spans="1:109" s="99" customFormat="1">
      <c r="A167" s="175"/>
      <c r="B167" s="175">
        <v>222</v>
      </c>
      <c r="C167" s="222" t="s">
        <v>13</v>
      </c>
      <c r="D167" s="176"/>
      <c r="E167" s="176"/>
      <c r="F167" s="176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  <c r="AA167" s="113"/>
      <c r="AB167" s="113"/>
      <c r="AC167" s="113"/>
      <c r="AD167" s="177" t="s">
        <v>78</v>
      </c>
      <c r="AE167" s="113"/>
      <c r="AF167" s="113"/>
      <c r="AG167" s="113"/>
      <c r="AH167" s="113"/>
      <c r="AI167" s="113"/>
      <c r="AJ167" s="113"/>
      <c r="AK167" s="113"/>
      <c r="AL167" s="113"/>
      <c r="AM167" s="113"/>
      <c r="AN167" s="113"/>
      <c r="AO167" s="113"/>
      <c r="AP167" s="113"/>
      <c r="AQ167" s="113"/>
      <c r="AR167" s="113"/>
      <c r="AS167" s="113"/>
      <c r="AT167" s="113"/>
      <c r="AU167" s="113"/>
      <c r="AV167" s="113"/>
      <c r="AW167" s="113"/>
      <c r="AX167" s="113"/>
      <c r="AY167" s="113"/>
      <c r="AZ167" s="113"/>
      <c r="BA167" s="113"/>
      <c r="BB167" s="113"/>
      <c r="BC167" s="113"/>
      <c r="BD167" s="113"/>
      <c r="BE167" s="113"/>
      <c r="BF167" s="113"/>
      <c r="BG167" s="113"/>
      <c r="BH167" s="113"/>
      <c r="BI167" s="113">
        <f>BI14+BI39+BI116+BI151</f>
        <v>370916</v>
      </c>
      <c r="BJ167" s="113">
        <f ca="1">BJ14+BJ39+BJ116+BJ151</f>
        <v>370916</v>
      </c>
      <c r="BK167" s="113">
        <f ca="1">BK14+BK39+BK116+BK151</f>
        <v>370916</v>
      </c>
      <c r="BL167" s="113">
        <f>BL14+BL39+BL116+BL151</f>
        <v>0</v>
      </c>
      <c r="BM167" s="113">
        <f t="shared" si="173"/>
        <v>370916</v>
      </c>
      <c r="BN167" s="96"/>
      <c r="BO167" s="96"/>
      <c r="BP167" s="96"/>
      <c r="BQ167" s="96"/>
      <c r="BR167" s="96"/>
      <c r="BS167" s="96"/>
      <c r="BT167" s="96"/>
      <c r="BU167" s="96"/>
      <c r="BV167" s="96"/>
      <c r="BW167" s="96"/>
      <c r="BX167" s="96"/>
      <c r="BY167" s="96"/>
      <c r="BZ167" s="96"/>
      <c r="CA167" s="96"/>
      <c r="CB167" s="96"/>
      <c r="CC167" s="96"/>
      <c r="CD167" s="96"/>
      <c r="CE167" s="96"/>
      <c r="CF167" s="96"/>
      <c r="CG167" s="96"/>
      <c r="CH167" s="96"/>
      <c r="CI167" s="96"/>
      <c r="CJ167" s="96"/>
      <c r="CK167" s="96"/>
      <c r="CL167" s="96"/>
      <c r="CM167" s="96"/>
      <c r="CN167" s="96"/>
      <c r="CO167" s="96"/>
      <c r="CP167" s="96"/>
      <c r="CQ167" s="96"/>
      <c r="CR167" s="96"/>
    </row>
    <row r="168" spans="1:109" s="99" customFormat="1">
      <c r="A168" s="175"/>
      <c r="B168" s="175">
        <v>223</v>
      </c>
      <c r="C168" s="152" t="s">
        <v>6</v>
      </c>
      <c r="D168" s="176"/>
      <c r="E168" s="176"/>
      <c r="F168" s="176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  <c r="AA168" s="113"/>
      <c r="AB168" s="113"/>
      <c r="AC168" s="113"/>
      <c r="AD168" s="177" t="s">
        <v>78</v>
      </c>
      <c r="AE168" s="113"/>
      <c r="AF168" s="113"/>
      <c r="AG168" s="113"/>
      <c r="AH168" s="113"/>
      <c r="AI168" s="113"/>
      <c r="AJ168" s="113"/>
      <c r="AK168" s="113"/>
      <c r="AL168" s="113"/>
      <c r="AM168" s="113"/>
      <c r="AN168" s="113"/>
      <c r="AO168" s="113"/>
      <c r="AP168" s="113"/>
      <c r="AQ168" s="113"/>
      <c r="AR168" s="113"/>
      <c r="AS168" s="113"/>
      <c r="AT168" s="113"/>
      <c r="AU168" s="113"/>
      <c r="AV168" s="113"/>
      <c r="AW168" s="113"/>
      <c r="AX168" s="113"/>
      <c r="AY168" s="113"/>
      <c r="AZ168" s="113"/>
      <c r="BA168" s="113"/>
      <c r="BB168" s="113"/>
      <c r="BC168" s="113"/>
      <c r="BD168" s="113"/>
      <c r="BE168" s="113"/>
      <c r="BF168" s="113"/>
      <c r="BG168" s="113"/>
      <c r="BH168" s="113"/>
      <c r="BI168" s="113">
        <f>BI85</f>
        <v>30217.93</v>
      </c>
      <c r="BJ168" s="113">
        <f t="shared" ref="BJ168:BL168" si="175">BJ85</f>
        <v>0</v>
      </c>
      <c r="BK168" s="113">
        <f t="shared" si="175"/>
        <v>0</v>
      </c>
      <c r="BL168" s="113">
        <f t="shared" si="175"/>
        <v>0</v>
      </c>
      <c r="BM168" s="113">
        <f t="shared" si="173"/>
        <v>30217.93</v>
      </c>
      <c r="BN168" s="96"/>
      <c r="BO168" s="96"/>
      <c r="BP168" s="96"/>
      <c r="BQ168" s="96"/>
      <c r="BR168" s="96"/>
      <c r="BS168" s="96"/>
      <c r="BT168" s="96"/>
      <c r="BU168" s="96"/>
      <c r="BV168" s="96"/>
      <c r="BW168" s="96"/>
      <c r="BX168" s="96"/>
      <c r="BY168" s="96"/>
      <c r="BZ168" s="96"/>
      <c r="CA168" s="96"/>
      <c r="CB168" s="96"/>
      <c r="CC168" s="96"/>
      <c r="CD168" s="96"/>
      <c r="CE168" s="96"/>
      <c r="CF168" s="96"/>
      <c r="CG168" s="96"/>
      <c r="CH168" s="96"/>
      <c r="CI168" s="96"/>
      <c r="CJ168" s="96"/>
      <c r="CK168" s="96"/>
      <c r="CL168" s="96"/>
      <c r="CM168" s="96"/>
      <c r="CN168" s="96"/>
      <c r="CO168" s="96"/>
      <c r="CP168" s="96"/>
      <c r="CQ168" s="96"/>
      <c r="CR168" s="96"/>
    </row>
    <row r="169" spans="1:109" s="99" customFormat="1">
      <c r="A169" s="175"/>
      <c r="B169" s="175">
        <v>223</v>
      </c>
      <c r="C169" s="152" t="s">
        <v>6</v>
      </c>
      <c r="D169" s="176"/>
      <c r="E169" s="176"/>
      <c r="F169" s="176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77" t="s">
        <v>129</v>
      </c>
      <c r="AE169" s="113"/>
      <c r="AF169" s="113"/>
      <c r="AG169" s="113"/>
      <c r="AH169" s="113"/>
      <c r="AI169" s="113"/>
      <c r="AJ169" s="113"/>
      <c r="AK169" s="113"/>
      <c r="AL169" s="113"/>
      <c r="AM169" s="113"/>
      <c r="AN169" s="113"/>
      <c r="AO169" s="113"/>
      <c r="AP169" s="113"/>
      <c r="AQ169" s="113"/>
      <c r="AR169" s="113"/>
      <c r="AS169" s="113"/>
      <c r="AT169" s="113"/>
      <c r="AU169" s="113"/>
      <c r="AV169" s="113"/>
      <c r="AW169" s="113"/>
      <c r="AX169" s="113"/>
      <c r="AY169" s="113"/>
      <c r="AZ169" s="113"/>
      <c r="BA169" s="113"/>
      <c r="BB169" s="113"/>
      <c r="BC169" s="113"/>
      <c r="BD169" s="113"/>
      <c r="BE169" s="113"/>
      <c r="BF169" s="113"/>
      <c r="BG169" s="113"/>
      <c r="BH169" s="113"/>
      <c r="BI169" s="113">
        <f>BI89</f>
        <v>336902.31</v>
      </c>
      <c r="BJ169" s="113">
        <f t="shared" ref="BJ169:BL169" si="176">BJ89</f>
        <v>0</v>
      </c>
      <c r="BK169" s="113">
        <f t="shared" si="176"/>
        <v>0</v>
      </c>
      <c r="BL169" s="113">
        <f t="shared" si="176"/>
        <v>0</v>
      </c>
      <c r="BM169" s="113">
        <f t="shared" si="173"/>
        <v>336902.31</v>
      </c>
      <c r="BN169" s="96"/>
      <c r="BO169" s="96"/>
      <c r="BP169" s="96"/>
      <c r="BQ169" s="96"/>
      <c r="BR169" s="96"/>
      <c r="BS169" s="96"/>
      <c r="BT169" s="96"/>
      <c r="BU169" s="96"/>
      <c r="BV169" s="96"/>
      <c r="BW169" s="96"/>
      <c r="BX169" s="96"/>
      <c r="BY169" s="96"/>
      <c r="BZ169" s="96"/>
      <c r="CA169" s="96"/>
      <c r="CB169" s="96"/>
      <c r="CC169" s="96"/>
      <c r="CD169" s="96"/>
      <c r="CE169" s="96"/>
      <c r="CF169" s="96"/>
      <c r="CG169" s="96"/>
      <c r="CH169" s="96"/>
      <c r="CI169" s="96"/>
      <c r="CJ169" s="96"/>
      <c r="CK169" s="96"/>
      <c r="CL169" s="96"/>
      <c r="CM169" s="96"/>
      <c r="CN169" s="96"/>
      <c r="CO169" s="96"/>
      <c r="CP169" s="96"/>
      <c r="CQ169" s="96"/>
      <c r="CR169" s="96"/>
    </row>
    <row r="170" spans="1:109" s="99" customFormat="1">
      <c r="A170" s="175"/>
      <c r="B170" s="175">
        <v>225</v>
      </c>
      <c r="C170" s="222" t="s">
        <v>7</v>
      </c>
      <c r="D170" s="176"/>
      <c r="E170" s="176"/>
      <c r="F170" s="176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  <c r="AA170" s="113"/>
      <c r="AB170" s="113"/>
      <c r="AC170" s="113"/>
      <c r="AD170" s="177" t="s">
        <v>78</v>
      </c>
      <c r="AE170" s="113"/>
      <c r="AF170" s="113"/>
      <c r="AG170" s="113"/>
      <c r="AH170" s="113"/>
      <c r="AI170" s="113"/>
      <c r="AJ170" s="113"/>
      <c r="AK170" s="113"/>
      <c r="AL170" s="113"/>
      <c r="AM170" s="113"/>
      <c r="AN170" s="113"/>
      <c r="AO170" s="113"/>
      <c r="AP170" s="113"/>
      <c r="AQ170" s="113"/>
      <c r="AR170" s="113"/>
      <c r="AS170" s="113"/>
      <c r="AT170" s="113"/>
      <c r="AU170" s="113"/>
      <c r="AV170" s="113"/>
      <c r="AW170" s="113"/>
      <c r="AX170" s="113"/>
      <c r="AY170" s="113"/>
      <c r="AZ170" s="113"/>
      <c r="BA170" s="113"/>
      <c r="BB170" s="113"/>
      <c r="BC170" s="113"/>
      <c r="BD170" s="113"/>
      <c r="BE170" s="113"/>
      <c r="BF170" s="113"/>
      <c r="BG170" s="113"/>
      <c r="BH170" s="113"/>
      <c r="BI170" s="113">
        <f>BI16+BI110+BI153+BI93</f>
        <v>352645</v>
      </c>
      <c r="BJ170" s="113" t="e">
        <f>BJ16+BJ110+BJ153+BJ93</f>
        <v>#REF!</v>
      </c>
      <c r="BK170" s="113" t="e">
        <f>BK16+BK110+BK153+BK93</f>
        <v>#REF!</v>
      </c>
      <c r="BL170" s="113">
        <f>BL16+BL110+BL153+BL93</f>
        <v>0</v>
      </c>
      <c r="BM170" s="113">
        <f t="shared" si="173"/>
        <v>352645</v>
      </c>
      <c r="BN170" s="96"/>
      <c r="BO170" s="96"/>
      <c r="BP170" s="96"/>
      <c r="BQ170" s="96"/>
      <c r="BR170" s="96"/>
      <c r="BS170" s="96"/>
      <c r="BT170" s="96"/>
      <c r="BU170" s="96"/>
      <c r="BV170" s="96"/>
      <c r="BW170" s="96"/>
      <c r="BX170" s="96"/>
      <c r="BY170" s="96"/>
      <c r="BZ170" s="96"/>
      <c r="CA170" s="96"/>
      <c r="CB170" s="96"/>
      <c r="CC170" s="96"/>
      <c r="CD170" s="96"/>
      <c r="CE170" s="96"/>
      <c r="CF170" s="96"/>
      <c r="CG170" s="96"/>
      <c r="CH170" s="96"/>
      <c r="CI170" s="96"/>
      <c r="CJ170" s="96"/>
      <c r="CK170" s="96"/>
      <c r="CL170" s="96"/>
      <c r="CM170" s="96"/>
      <c r="CN170" s="96"/>
      <c r="CO170" s="96"/>
      <c r="CP170" s="96"/>
      <c r="CQ170" s="96"/>
      <c r="CR170" s="96"/>
    </row>
    <row r="171" spans="1:109" s="99" customFormat="1">
      <c r="A171" s="175"/>
      <c r="B171" s="175">
        <v>226</v>
      </c>
      <c r="C171" s="222" t="s">
        <v>8</v>
      </c>
      <c r="D171" s="176"/>
      <c r="E171" s="176"/>
      <c r="F171" s="176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  <c r="AA171" s="113"/>
      <c r="AB171" s="113"/>
      <c r="AC171" s="113"/>
      <c r="AD171" s="177" t="s">
        <v>78</v>
      </c>
      <c r="AE171" s="113"/>
      <c r="AF171" s="113"/>
      <c r="AG171" s="113"/>
      <c r="AH171" s="113"/>
      <c r="AI171" s="113"/>
      <c r="AJ171" s="113"/>
      <c r="AK171" s="113"/>
      <c r="AL171" s="113"/>
      <c r="AM171" s="113"/>
      <c r="AN171" s="113"/>
      <c r="AO171" s="113"/>
      <c r="AP171" s="113"/>
      <c r="AQ171" s="113"/>
      <c r="AR171" s="113"/>
      <c r="AS171" s="113"/>
      <c r="AT171" s="113"/>
      <c r="AU171" s="113"/>
      <c r="AV171" s="113"/>
      <c r="AW171" s="113"/>
      <c r="AX171" s="113"/>
      <c r="AY171" s="113"/>
      <c r="AZ171" s="113"/>
      <c r="BA171" s="113"/>
      <c r="BB171" s="113"/>
      <c r="BC171" s="113"/>
      <c r="BD171" s="113"/>
      <c r="BE171" s="113"/>
      <c r="BF171" s="113"/>
      <c r="BG171" s="113"/>
      <c r="BH171" s="113"/>
      <c r="BI171" s="113">
        <f>BI18+BI25+BI47+BI98+BI120+BI155</f>
        <v>565070</v>
      </c>
      <c r="BJ171" s="113" t="e">
        <f>BJ18+BJ25+BJ47+BJ98+BJ120+BJ155</f>
        <v>#REF!</v>
      </c>
      <c r="BK171" s="113" t="e">
        <f>BK18+BK25+BK47+BK98+BK120+BK155</f>
        <v>#REF!</v>
      </c>
      <c r="BL171" s="113">
        <f>BL18+BL25+BL47+BL98+BL120+BL155</f>
        <v>0</v>
      </c>
      <c r="BM171" s="113">
        <f t="shared" si="173"/>
        <v>565070</v>
      </c>
      <c r="BN171" s="96"/>
      <c r="BO171" s="96"/>
      <c r="BP171" s="96"/>
      <c r="BQ171" s="96"/>
      <c r="BR171" s="96"/>
      <c r="BS171" s="96"/>
      <c r="BT171" s="96"/>
      <c r="BU171" s="96"/>
      <c r="BV171" s="96"/>
      <c r="BW171" s="96"/>
      <c r="BX171" s="96"/>
      <c r="BY171" s="96"/>
      <c r="BZ171" s="96"/>
      <c r="CA171" s="96"/>
      <c r="CB171" s="96"/>
      <c r="CC171" s="96"/>
      <c r="CD171" s="96"/>
      <c r="CE171" s="96"/>
      <c r="CF171" s="96"/>
      <c r="CG171" s="96"/>
      <c r="CH171" s="96"/>
      <c r="CI171" s="96"/>
      <c r="CJ171" s="96"/>
      <c r="CK171" s="96"/>
      <c r="CL171" s="96"/>
      <c r="CM171" s="96"/>
      <c r="CN171" s="96"/>
      <c r="CO171" s="96"/>
      <c r="CP171" s="96"/>
      <c r="CQ171" s="96"/>
      <c r="CR171" s="96"/>
    </row>
    <row r="172" spans="1:109" s="99" customFormat="1">
      <c r="A172" s="175"/>
      <c r="B172" s="175">
        <v>227</v>
      </c>
      <c r="C172" s="222" t="s">
        <v>118</v>
      </c>
      <c r="D172" s="176"/>
      <c r="E172" s="176"/>
      <c r="F172" s="176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3"/>
      <c r="AB172" s="113"/>
      <c r="AC172" s="113"/>
      <c r="AD172" s="177" t="s">
        <v>78</v>
      </c>
      <c r="AE172" s="113"/>
      <c r="AF172" s="113"/>
      <c r="AG172" s="113"/>
      <c r="AH172" s="113"/>
      <c r="AI172" s="113"/>
      <c r="AJ172" s="113"/>
      <c r="AK172" s="113"/>
      <c r="AL172" s="113"/>
      <c r="AM172" s="113"/>
      <c r="AN172" s="113"/>
      <c r="AO172" s="113"/>
      <c r="AP172" s="113"/>
      <c r="AQ172" s="113"/>
      <c r="AR172" s="113"/>
      <c r="AS172" s="113"/>
      <c r="AT172" s="113"/>
      <c r="AU172" s="113"/>
      <c r="AV172" s="113"/>
      <c r="AW172" s="113"/>
      <c r="AX172" s="113"/>
      <c r="AY172" s="113"/>
      <c r="AZ172" s="113"/>
      <c r="BA172" s="113"/>
      <c r="BB172" s="113"/>
      <c r="BC172" s="113"/>
      <c r="BD172" s="113"/>
      <c r="BE172" s="113"/>
      <c r="BF172" s="113"/>
      <c r="BG172" s="113"/>
      <c r="BH172" s="113"/>
      <c r="BI172" s="113">
        <f>BI122</f>
        <v>1600</v>
      </c>
      <c r="BJ172" s="113" t="e">
        <f>BJ122</f>
        <v>#REF!</v>
      </c>
      <c r="BK172" s="113" t="e">
        <f>BK122</f>
        <v>#REF!</v>
      </c>
      <c r="BL172" s="113">
        <f>BL122</f>
        <v>0</v>
      </c>
      <c r="BM172" s="113">
        <f t="shared" si="173"/>
        <v>1600</v>
      </c>
      <c r="BN172" s="96"/>
      <c r="BO172" s="96"/>
      <c r="BP172" s="96"/>
      <c r="BQ172" s="115"/>
      <c r="BR172" s="95"/>
      <c r="BS172" s="96"/>
      <c r="BT172" s="96"/>
      <c r="BU172" s="96"/>
      <c r="BV172" s="96"/>
      <c r="BW172" s="96"/>
      <c r="BX172" s="96"/>
      <c r="BY172" s="96"/>
      <c r="BZ172" s="96"/>
      <c r="CA172" s="96"/>
      <c r="CB172" s="96"/>
      <c r="CC172" s="96"/>
      <c r="CD172" s="96"/>
      <c r="CE172" s="96"/>
      <c r="CF172" s="96"/>
      <c r="CG172" s="96"/>
      <c r="CH172" s="96"/>
      <c r="CI172" s="96"/>
      <c r="CJ172" s="96"/>
      <c r="CK172" s="96"/>
      <c r="CL172" s="96"/>
      <c r="CM172" s="96"/>
      <c r="CN172" s="96"/>
      <c r="CO172" s="96"/>
      <c r="CP172" s="96"/>
      <c r="CQ172" s="96"/>
      <c r="CR172" s="96"/>
    </row>
    <row r="173" spans="1:109" s="99" customFormat="1" ht="25.5">
      <c r="A173" s="175"/>
      <c r="B173" s="175">
        <v>266</v>
      </c>
      <c r="C173" s="152" t="s">
        <v>110</v>
      </c>
      <c r="D173" s="176"/>
      <c r="E173" s="176"/>
      <c r="F173" s="176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  <c r="AA173" s="113"/>
      <c r="AB173" s="113"/>
      <c r="AC173" s="113"/>
      <c r="AD173" s="177" t="s">
        <v>79</v>
      </c>
      <c r="AE173" s="113"/>
      <c r="AF173" s="113"/>
      <c r="AG173" s="113"/>
      <c r="AH173" s="113"/>
      <c r="AI173" s="113"/>
      <c r="AJ173" s="113"/>
      <c r="AK173" s="113"/>
      <c r="AL173" s="113"/>
      <c r="AM173" s="113"/>
      <c r="AN173" s="113"/>
      <c r="AO173" s="113"/>
      <c r="AP173" s="113"/>
      <c r="AQ173" s="113"/>
      <c r="AR173" s="113"/>
      <c r="AS173" s="113"/>
      <c r="AT173" s="113"/>
      <c r="AU173" s="113"/>
      <c r="AV173" s="113"/>
      <c r="AW173" s="113"/>
      <c r="AX173" s="113"/>
      <c r="AY173" s="113"/>
      <c r="AZ173" s="113"/>
      <c r="BA173" s="113"/>
      <c r="BB173" s="113"/>
      <c r="BC173" s="113"/>
      <c r="BD173" s="113"/>
      <c r="BE173" s="113"/>
      <c r="BF173" s="113"/>
      <c r="BG173" s="113"/>
      <c r="BH173" s="113"/>
      <c r="BI173" s="113">
        <f>BI6+BI80+BI150</f>
        <v>40000</v>
      </c>
      <c r="BJ173" s="113">
        <f>BJ6+BJ80+BJ150</f>
        <v>10000</v>
      </c>
      <c r="BK173" s="113">
        <f>BK6+BK80+BK150</f>
        <v>10000</v>
      </c>
      <c r="BL173" s="113">
        <f>BL6+BL80+BL150</f>
        <v>0</v>
      </c>
      <c r="BM173" s="113">
        <f t="shared" si="173"/>
        <v>40000</v>
      </c>
      <c r="BN173" s="96"/>
      <c r="BO173" s="96"/>
      <c r="BP173" s="96"/>
      <c r="BQ173" s="230" t="s">
        <v>122</v>
      </c>
      <c r="BR173" s="425">
        <f>BI179</f>
        <v>473027</v>
      </c>
      <c r="BS173" s="96"/>
      <c r="BT173" s="96"/>
      <c r="BU173" s="96"/>
      <c r="BV173" s="96"/>
      <c r="BW173" s="96"/>
      <c r="BX173" s="96"/>
      <c r="BY173" s="96"/>
      <c r="BZ173" s="96"/>
      <c r="CA173" s="96"/>
      <c r="CB173" s="96"/>
      <c r="CC173" s="96"/>
      <c r="CD173" s="96"/>
      <c r="CE173" s="96"/>
      <c r="CF173" s="96"/>
      <c r="CG173" s="96"/>
      <c r="CH173" s="96"/>
      <c r="CI173" s="96"/>
      <c r="CJ173" s="96"/>
      <c r="CK173" s="96"/>
      <c r="CL173" s="96"/>
      <c r="CM173" s="96"/>
      <c r="CN173" s="96"/>
      <c r="CO173" s="96"/>
      <c r="CP173" s="96"/>
      <c r="CQ173" s="96"/>
      <c r="CR173" s="96"/>
    </row>
    <row r="174" spans="1:109" s="99" customFormat="1">
      <c r="A174" s="175"/>
      <c r="B174" s="175">
        <v>296</v>
      </c>
      <c r="C174" s="152" t="s">
        <v>117</v>
      </c>
      <c r="D174" s="176"/>
      <c r="E174" s="176"/>
      <c r="F174" s="176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  <c r="AA174" s="113"/>
      <c r="AB174" s="113"/>
      <c r="AC174" s="113"/>
      <c r="AD174" s="177" t="s">
        <v>82</v>
      </c>
      <c r="AE174" s="113"/>
      <c r="AF174" s="113"/>
      <c r="AG174" s="113"/>
      <c r="AH174" s="113"/>
      <c r="AI174" s="113"/>
      <c r="AJ174" s="113"/>
      <c r="AK174" s="113"/>
      <c r="AL174" s="113"/>
      <c r="AM174" s="113"/>
      <c r="AN174" s="113"/>
      <c r="AO174" s="113"/>
      <c r="AP174" s="113"/>
      <c r="AQ174" s="113"/>
      <c r="AR174" s="113"/>
      <c r="AS174" s="113"/>
      <c r="AT174" s="113"/>
      <c r="AU174" s="113"/>
      <c r="AV174" s="113"/>
      <c r="AW174" s="113"/>
      <c r="AX174" s="113"/>
      <c r="AY174" s="113"/>
      <c r="AZ174" s="113"/>
      <c r="BA174" s="113"/>
      <c r="BB174" s="113"/>
      <c r="BC174" s="113"/>
      <c r="BD174" s="113"/>
      <c r="BE174" s="113"/>
      <c r="BF174" s="113"/>
      <c r="BG174" s="113"/>
      <c r="BH174" s="113"/>
      <c r="BI174" s="113">
        <f>BI49</f>
        <v>69000</v>
      </c>
      <c r="BJ174" s="113">
        <f t="shared" ref="BJ174:BL174" si="177">BJ49</f>
        <v>0</v>
      </c>
      <c r="BK174" s="113">
        <f t="shared" si="177"/>
        <v>0</v>
      </c>
      <c r="BL174" s="113">
        <f t="shared" si="177"/>
        <v>0</v>
      </c>
      <c r="BM174" s="113">
        <f t="shared" si="173"/>
        <v>69000</v>
      </c>
      <c r="BN174" s="96"/>
      <c r="BO174" s="96"/>
      <c r="BP174" s="96"/>
      <c r="BQ174" s="231">
        <v>244.346</v>
      </c>
      <c r="BR174" s="95">
        <f>BI178</f>
        <v>624083</v>
      </c>
      <c r="BS174" s="96"/>
      <c r="BT174" s="96"/>
      <c r="BU174" s="96"/>
      <c r="BV174" s="96"/>
      <c r="BW174" s="96"/>
      <c r="BX174" s="96"/>
      <c r="BY174" s="96"/>
      <c r="BZ174" s="96"/>
      <c r="CA174" s="96"/>
      <c r="CB174" s="96"/>
      <c r="CC174" s="96"/>
      <c r="CD174" s="96"/>
      <c r="CE174" s="96"/>
      <c r="CF174" s="96"/>
      <c r="CG174" s="96"/>
      <c r="CH174" s="96"/>
      <c r="CI174" s="96"/>
      <c r="CJ174" s="96"/>
      <c r="CK174" s="96"/>
      <c r="CL174" s="96"/>
      <c r="CM174" s="96"/>
      <c r="CN174" s="96"/>
      <c r="CO174" s="96"/>
      <c r="CP174" s="96"/>
      <c r="CQ174" s="96"/>
      <c r="CR174" s="96"/>
    </row>
    <row r="175" spans="1:109" s="99" customFormat="1">
      <c r="A175" s="175"/>
      <c r="B175" s="175">
        <v>341</v>
      </c>
      <c r="C175" s="203" t="s">
        <v>113</v>
      </c>
      <c r="D175" s="176"/>
      <c r="E175" s="176"/>
      <c r="F175" s="176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  <c r="AA175" s="113"/>
      <c r="AB175" s="113"/>
      <c r="AC175" s="113"/>
      <c r="AD175" s="177" t="s">
        <v>78</v>
      </c>
      <c r="AE175" s="113"/>
      <c r="AF175" s="113"/>
      <c r="AG175" s="113"/>
      <c r="AH175" s="113"/>
      <c r="AI175" s="113"/>
      <c r="AJ175" s="113"/>
      <c r="AK175" s="113"/>
      <c r="AL175" s="113"/>
      <c r="AM175" s="113"/>
      <c r="AN175" s="113"/>
      <c r="AO175" s="113"/>
      <c r="AP175" s="113"/>
      <c r="AQ175" s="113"/>
      <c r="AR175" s="113"/>
      <c r="AS175" s="113"/>
      <c r="AT175" s="113"/>
      <c r="AU175" s="113"/>
      <c r="AV175" s="113"/>
      <c r="AW175" s="113"/>
      <c r="AX175" s="113"/>
      <c r="AY175" s="113"/>
      <c r="AZ175" s="113"/>
      <c r="BA175" s="113"/>
      <c r="BB175" s="113"/>
      <c r="BC175" s="113"/>
      <c r="BD175" s="113"/>
      <c r="BE175" s="113"/>
      <c r="BF175" s="113"/>
      <c r="BG175" s="113"/>
      <c r="BH175" s="113"/>
      <c r="BI175" s="113">
        <f>BI123</f>
        <v>4500</v>
      </c>
      <c r="BJ175" s="113">
        <f t="shared" ref="BJ175:BL175" si="178">BJ123</f>
        <v>1712.5</v>
      </c>
      <c r="BK175" s="113">
        <f t="shared" si="178"/>
        <v>1712.5</v>
      </c>
      <c r="BL175" s="113">
        <f t="shared" si="178"/>
        <v>0</v>
      </c>
      <c r="BM175" s="113">
        <f t="shared" si="173"/>
        <v>4500</v>
      </c>
      <c r="BN175" s="96"/>
      <c r="BO175" s="96"/>
      <c r="BP175" s="96"/>
      <c r="BQ175" s="231"/>
      <c r="BR175" s="95"/>
      <c r="BS175" s="96"/>
      <c r="BT175" s="96"/>
      <c r="BU175" s="96"/>
      <c r="BV175" s="96"/>
      <c r="BW175" s="96"/>
      <c r="BX175" s="96"/>
      <c r="BY175" s="96"/>
      <c r="BZ175" s="96"/>
      <c r="CA175" s="96"/>
      <c r="CB175" s="96"/>
      <c r="CC175" s="96"/>
      <c r="CD175" s="96"/>
      <c r="CE175" s="96"/>
      <c r="CF175" s="96"/>
      <c r="CG175" s="96"/>
      <c r="CH175" s="96"/>
      <c r="CI175" s="96"/>
      <c r="CJ175" s="96"/>
      <c r="CK175" s="96"/>
      <c r="CL175" s="96"/>
      <c r="CM175" s="96"/>
      <c r="CN175" s="96"/>
      <c r="CO175" s="96"/>
      <c r="CP175" s="96"/>
      <c r="CQ175" s="96"/>
      <c r="CR175" s="96"/>
    </row>
    <row r="176" spans="1:109" s="99" customFormat="1">
      <c r="A176" s="175"/>
      <c r="B176" s="175">
        <v>342</v>
      </c>
      <c r="C176" s="203" t="s">
        <v>114</v>
      </c>
      <c r="D176" s="176"/>
      <c r="E176" s="176"/>
      <c r="F176" s="176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  <c r="AA176" s="113"/>
      <c r="AB176" s="113"/>
      <c r="AC176" s="113"/>
      <c r="AD176" s="177" t="s">
        <v>78</v>
      </c>
      <c r="AE176" s="113"/>
      <c r="AF176" s="113"/>
      <c r="AG176" s="113"/>
      <c r="AH176" s="113"/>
      <c r="AI176" s="113"/>
      <c r="AJ176" s="113"/>
      <c r="AK176" s="113"/>
      <c r="AL176" s="113"/>
      <c r="AM176" s="113"/>
      <c r="AN176" s="113"/>
      <c r="AO176" s="113"/>
      <c r="AP176" s="113"/>
      <c r="AQ176" s="113"/>
      <c r="AR176" s="113"/>
      <c r="AS176" s="113"/>
      <c r="AT176" s="113"/>
      <c r="AU176" s="113"/>
      <c r="AV176" s="113"/>
      <c r="AW176" s="113"/>
      <c r="AX176" s="113"/>
      <c r="AY176" s="113"/>
      <c r="AZ176" s="113"/>
      <c r="BA176" s="113"/>
      <c r="BB176" s="113"/>
      <c r="BC176" s="113"/>
      <c r="BD176" s="113"/>
      <c r="BE176" s="113"/>
      <c r="BF176" s="113"/>
      <c r="BG176" s="113"/>
      <c r="BH176" s="113"/>
      <c r="BI176" s="113">
        <f>BI50+BI124</f>
        <v>28650</v>
      </c>
      <c r="BJ176" s="113">
        <f>BJ50+BJ124</f>
        <v>0</v>
      </c>
      <c r="BK176" s="113">
        <f>BK50+BK124</f>
        <v>0</v>
      </c>
      <c r="BL176" s="113">
        <f>BL50+BL124</f>
        <v>0</v>
      </c>
      <c r="BM176" s="113">
        <f t="shared" si="173"/>
        <v>28650</v>
      </c>
      <c r="BN176" s="96"/>
      <c r="BO176" s="96"/>
      <c r="BP176" s="96"/>
      <c r="BQ176" s="231">
        <v>244.345</v>
      </c>
      <c r="BR176" s="95">
        <f>BI177</f>
        <v>119450</v>
      </c>
      <c r="BS176" s="96"/>
      <c r="BT176" s="96"/>
      <c r="BU176" s="96"/>
      <c r="BV176" s="96"/>
      <c r="BW176" s="96"/>
      <c r="BX176" s="96"/>
      <c r="BY176" s="96"/>
      <c r="BZ176" s="96"/>
      <c r="CA176" s="96"/>
      <c r="CB176" s="96"/>
      <c r="CC176" s="96"/>
      <c r="CD176" s="96"/>
      <c r="CE176" s="96"/>
      <c r="CF176" s="96"/>
      <c r="CG176" s="96"/>
      <c r="CH176" s="96"/>
      <c r="CI176" s="96"/>
      <c r="CJ176" s="96"/>
      <c r="CK176" s="96"/>
      <c r="CL176" s="96"/>
      <c r="CM176" s="96"/>
      <c r="CN176" s="96"/>
      <c r="CO176" s="96"/>
      <c r="CP176" s="96"/>
      <c r="CQ176" s="96"/>
      <c r="CR176" s="96"/>
    </row>
    <row r="177" spans="1:109" s="99" customFormat="1">
      <c r="A177" s="175"/>
      <c r="B177" s="175">
        <v>345</v>
      </c>
      <c r="C177" s="223" t="s">
        <v>115</v>
      </c>
      <c r="D177" s="176"/>
      <c r="E177" s="176"/>
      <c r="F177" s="176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77" t="s">
        <v>78</v>
      </c>
      <c r="AE177" s="113"/>
      <c r="AF177" s="113"/>
      <c r="AG177" s="113"/>
      <c r="AH177" s="113"/>
      <c r="AI177" s="113"/>
      <c r="AJ177" s="113"/>
      <c r="AK177" s="113"/>
      <c r="AL177" s="113"/>
      <c r="AM177" s="113"/>
      <c r="AN177" s="113"/>
      <c r="AO177" s="113"/>
      <c r="AP177" s="113"/>
      <c r="AQ177" s="113"/>
      <c r="AR177" s="113"/>
      <c r="AS177" s="113"/>
      <c r="AT177" s="113"/>
      <c r="AU177" s="113"/>
      <c r="AV177" s="113"/>
      <c r="AW177" s="113"/>
      <c r="AX177" s="113"/>
      <c r="AY177" s="113"/>
      <c r="AZ177" s="113"/>
      <c r="BA177" s="113"/>
      <c r="BB177" s="113"/>
      <c r="BC177" s="113"/>
      <c r="BD177" s="113"/>
      <c r="BE177" s="113"/>
      <c r="BF177" s="113"/>
      <c r="BG177" s="113"/>
      <c r="BH177" s="113"/>
      <c r="BI177" s="113">
        <f>BI127</f>
        <v>119450</v>
      </c>
      <c r="BJ177" s="113">
        <f t="shared" ref="BJ177:BL177" si="179">BJ127</f>
        <v>0</v>
      </c>
      <c r="BK177" s="113">
        <f t="shared" si="179"/>
        <v>0</v>
      </c>
      <c r="BL177" s="113">
        <f t="shared" si="179"/>
        <v>0</v>
      </c>
      <c r="BM177" s="113">
        <f t="shared" si="173"/>
        <v>119450</v>
      </c>
      <c r="BN177" s="233"/>
      <c r="BO177" s="95"/>
      <c r="BP177" s="96"/>
      <c r="BQ177" s="231"/>
      <c r="BR177" s="95"/>
      <c r="BS177" s="96"/>
      <c r="BT177" s="96"/>
      <c r="BU177" s="96"/>
      <c r="BV177" s="96"/>
      <c r="BW177" s="96"/>
      <c r="BX177" s="96"/>
      <c r="BY177" s="96"/>
      <c r="BZ177" s="96"/>
      <c r="CA177" s="96"/>
      <c r="CB177" s="96"/>
      <c r="CC177" s="96"/>
      <c r="CD177" s="96"/>
      <c r="CE177" s="96"/>
      <c r="CF177" s="96"/>
      <c r="CG177" s="96"/>
      <c r="CH177" s="96"/>
      <c r="CI177" s="96"/>
      <c r="CJ177" s="96"/>
      <c r="CK177" s="96"/>
      <c r="CL177" s="96"/>
      <c r="CM177" s="96"/>
      <c r="CN177" s="96"/>
      <c r="CO177" s="96"/>
      <c r="CP177" s="96"/>
      <c r="CQ177" s="96"/>
      <c r="CR177" s="96"/>
    </row>
    <row r="178" spans="1:109" s="99" customFormat="1">
      <c r="A178" s="175"/>
      <c r="B178" s="175">
        <v>346</v>
      </c>
      <c r="C178" s="152" t="s">
        <v>9</v>
      </c>
      <c r="D178" s="176"/>
      <c r="E178" s="176"/>
      <c r="F178" s="176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  <c r="AA178" s="113"/>
      <c r="AB178" s="113"/>
      <c r="AC178" s="113"/>
      <c r="AD178" s="177" t="s">
        <v>78</v>
      </c>
      <c r="AE178" s="113"/>
      <c r="AF178" s="113"/>
      <c r="AG178" s="113"/>
      <c r="AH178" s="113"/>
      <c r="AI178" s="113"/>
      <c r="AJ178" s="113"/>
      <c r="AK178" s="113"/>
      <c r="AL178" s="113"/>
      <c r="AM178" s="113"/>
      <c r="AN178" s="113"/>
      <c r="AO178" s="113"/>
      <c r="AP178" s="113"/>
      <c r="AQ178" s="113"/>
      <c r="AR178" s="113"/>
      <c r="AS178" s="113"/>
      <c r="AT178" s="113"/>
      <c r="AU178" s="113"/>
      <c r="AV178" s="113"/>
      <c r="AW178" s="113"/>
      <c r="AX178" s="113"/>
      <c r="AY178" s="113"/>
      <c r="AZ178" s="113"/>
      <c r="BA178" s="113"/>
      <c r="BB178" s="113"/>
      <c r="BC178" s="113"/>
      <c r="BD178" s="113"/>
      <c r="BE178" s="113"/>
      <c r="BF178" s="113"/>
      <c r="BG178" s="113"/>
      <c r="BH178" s="113"/>
      <c r="BI178" s="113">
        <f>BI20+BI27+BI32+BI52+BI105+BI112+BI128+BI157</f>
        <v>624083</v>
      </c>
      <c r="BJ178" s="113" t="e">
        <f>BJ20+BJ27+BJ32+BJ52+BJ105+BJ112+BJ128+BJ157</f>
        <v>#REF!</v>
      </c>
      <c r="BK178" s="113" t="e">
        <f>BK20+BK27+BK32+BK52+BK105+BK112+BK128+BK157</f>
        <v>#REF!</v>
      </c>
      <c r="BL178" s="113">
        <f>BL20+BL27+BL32+BL52+BL105+BL112+BL128+BL157</f>
        <v>0</v>
      </c>
      <c r="BM178" s="113">
        <f t="shared" si="173"/>
        <v>624083</v>
      </c>
      <c r="BN178" s="233">
        <v>213.119</v>
      </c>
      <c r="BO178" s="95">
        <f>BM165</f>
        <v>1852375.1800000004</v>
      </c>
      <c r="BP178" s="96"/>
      <c r="BQ178" s="231">
        <v>244.34100000000001</v>
      </c>
      <c r="BR178" s="95">
        <f>BI175</f>
        <v>4500</v>
      </c>
      <c r="BS178" s="96"/>
      <c r="BT178" s="96"/>
      <c r="BU178" s="96"/>
      <c r="BV178" s="96"/>
      <c r="BW178" s="96"/>
      <c r="BX178" s="96"/>
      <c r="BY178" s="96"/>
      <c r="BZ178" s="96"/>
      <c r="CA178" s="96"/>
      <c r="CB178" s="96"/>
      <c r="CC178" s="96"/>
      <c r="CD178" s="96"/>
      <c r="CE178" s="96"/>
      <c r="CF178" s="96"/>
      <c r="CG178" s="96"/>
      <c r="CH178" s="96"/>
      <c r="CI178" s="96"/>
      <c r="CJ178" s="96"/>
      <c r="CK178" s="96"/>
      <c r="CL178" s="96"/>
      <c r="CM178" s="96"/>
      <c r="CN178" s="96"/>
      <c r="CO178" s="96"/>
      <c r="CP178" s="96"/>
      <c r="CQ178" s="96"/>
      <c r="CR178" s="96"/>
    </row>
    <row r="179" spans="1:109" s="99" customFormat="1" ht="12" customHeight="1">
      <c r="A179" s="175"/>
      <c r="B179" s="175">
        <v>349</v>
      </c>
      <c r="C179" s="117" t="s">
        <v>9</v>
      </c>
      <c r="D179" s="176"/>
      <c r="E179" s="176"/>
      <c r="F179" s="176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77" t="s">
        <v>78</v>
      </c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3">
        <f>BI22+BI29+BI34+BI62+BI136+BI159</f>
        <v>473027</v>
      </c>
      <c r="BJ179" s="113" t="e">
        <f>BJ22+BJ29+BJ34+BJ62+BJ136+BJ159</f>
        <v>#REF!</v>
      </c>
      <c r="BK179" s="113" t="e">
        <f>BK22+BK29+BK34+BK62+BK136+BK159</f>
        <v>#REF!</v>
      </c>
      <c r="BL179" s="113">
        <f>BL22+BL29+BL34+BL62+BL136+BL159</f>
        <v>0</v>
      </c>
      <c r="BM179" s="113">
        <f t="shared" si="173"/>
        <v>473027</v>
      </c>
      <c r="BN179" s="233"/>
      <c r="BO179" s="95"/>
      <c r="BP179" s="96"/>
      <c r="BQ179" s="231"/>
      <c r="BR179" s="95"/>
      <c r="BS179" s="96"/>
      <c r="BT179" s="96"/>
      <c r="BU179" s="96"/>
      <c r="BV179" s="96"/>
      <c r="BW179" s="96"/>
      <c r="BX179" s="96"/>
      <c r="BY179" s="96"/>
      <c r="BZ179" s="96"/>
      <c r="CA179" s="96"/>
      <c r="CB179" s="96"/>
      <c r="CC179" s="96"/>
      <c r="CD179" s="96"/>
      <c r="CE179" s="96"/>
      <c r="CF179" s="96"/>
      <c r="CG179" s="96"/>
      <c r="CH179" s="96"/>
      <c r="CI179" s="96"/>
      <c r="CJ179" s="96"/>
      <c r="CK179" s="96"/>
      <c r="CL179" s="96"/>
      <c r="CM179" s="96"/>
      <c r="CN179" s="96"/>
      <c r="CO179" s="96"/>
      <c r="CP179" s="96"/>
      <c r="CQ179" s="96"/>
      <c r="CR179" s="96"/>
    </row>
    <row r="180" spans="1:109" s="99" customFormat="1" ht="0.75" customHeight="1">
      <c r="A180" s="175"/>
      <c r="B180" s="175">
        <v>349</v>
      </c>
      <c r="C180" s="117" t="s">
        <v>9</v>
      </c>
      <c r="D180" s="176"/>
      <c r="E180" s="176"/>
      <c r="F180" s="176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  <c r="AA180" s="113"/>
      <c r="AB180" s="113"/>
      <c r="AC180" s="113"/>
      <c r="AD180" s="177" t="s">
        <v>82</v>
      </c>
      <c r="AE180" s="113"/>
      <c r="AF180" s="113"/>
      <c r="AG180" s="113"/>
      <c r="AH180" s="113"/>
      <c r="AI180" s="113"/>
      <c r="AJ180" s="113"/>
      <c r="AK180" s="113"/>
      <c r="AL180" s="113"/>
      <c r="AM180" s="113"/>
      <c r="AN180" s="113"/>
      <c r="AO180" s="113"/>
      <c r="AP180" s="113"/>
      <c r="AQ180" s="113"/>
      <c r="AR180" s="113"/>
      <c r="AS180" s="113"/>
      <c r="AT180" s="113"/>
      <c r="AU180" s="113"/>
      <c r="AV180" s="113"/>
      <c r="AW180" s="113"/>
      <c r="AX180" s="113"/>
      <c r="AY180" s="113"/>
      <c r="AZ180" s="113"/>
      <c r="BA180" s="113"/>
      <c r="BB180" s="113"/>
      <c r="BC180" s="113"/>
      <c r="BD180" s="113"/>
      <c r="BE180" s="113"/>
      <c r="BF180" s="113"/>
      <c r="BG180" s="113"/>
      <c r="BH180" s="113"/>
      <c r="BI180" s="113" t="e">
        <f>#REF!</f>
        <v>#REF!</v>
      </c>
      <c r="BJ180" s="113" t="e">
        <f>#REF!</f>
        <v>#REF!</v>
      </c>
      <c r="BK180" s="113" t="e">
        <f>#REF!</f>
        <v>#REF!</v>
      </c>
      <c r="BL180" s="113" t="e">
        <f>#REF!</f>
        <v>#REF!</v>
      </c>
      <c r="BM180" s="113" t="e">
        <f>#REF!</f>
        <v>#REF!</v>
      </c>
      <c r="BN180" s="233"/>
      <c r="BO180" s="95"/>
      <c r="BP180" s="96"/>
      <c r="BQ180" s="231"/>
      <c r="BR180" s="95"/>
      <c r="BS180" s="96"/>
      <c r="BT180" s="96"/>
      <c r="BU180" s="96"/>
      <c r="BV180" s="96"/>
      <c r="BW180" s="96"/>
      <c r="BX180" s="96"/>
      <c r="BY180" s="96"/>
      <c r="BZ180" s="96"/>
      <c r="CA180" s="96"/>
      <c r="CB180" s="96"/>
      <c r="CC180" s="96"/>
      <c r="CD180" s="96"/>
      <c r="CE180" s="96"/>
      <c r="CF180" s="96"/>
      <c r="CG180" s="96"/>
      <c r="CH180" s="96"/>
      <c r="CI180" s="96"/>
      <c r="CJ180" s="96"/>
      <c r="CK180" s="96"/>
      <c r="CL180" s="96"/>
      <c r="CM180" s="96"/>
      <c r="CN180" s="96"/>
      <c r="CO180" s="96"/>
      <c r="CP180" s="96"/>
      <c r="CQ180" s="96"/>
      <c r="CR180" s="96"/>
    </row>
    <row r="181" spans="1:109" s="99" customFormat="1">
      <c r="A181" s="237" t="s">
        <v>112</v>
      </c>
      <c r="B181" s="237"/>
      <c r="C181" s="237"/>
      <c r="D181" s="178"/>
      <c r="E181" s="178"/>
      <c r="F181" s="178"/>
      <c r="G181" s="179"/>
      <c r="H181" s="179"/>
      <c r="I181" s="179"/>
      <c r="J181" s="179"/>
      <c r="K181" s="179"/>
      <c r="L181" s="179"/>
      <c r="M181" s="179"/>
      <c r="N181" s="179"/>
      <c r="O181" s="179"/>
      <c r="P181" s="179"/>
      <c r="Q181" s="179"/>
      <c r="R181" s="179"/>
      <c r="S181" s="179"/>
      <c r="T181" s="179"/>
      <c r="U181" s="179"/>
      <c r="V181" s="179"/>
      <c r="W181" s="179"/>
      <c r="X181" s="179"/>
      <c r="Y181" s="179"/>
      <c r="Z181" s="179"/>
      <c r="AA181" s="179"/>
      <c r="AB181" s="179"/>
      <c r="AC181" s="179"/>
      <c r="AD181" s="180"/>
      <c r="AE181" s="179"/>
      <c r="AF181" s="179"/>
      <c r="AG181" s="179"/>
      <c r="AH181" s="179"/>
      <c r="AI181" s="179"/>
      <c r="AJ181" s="179"/>
      <c r="AK181" s="179"/>
      <c r="AL181" s="179"/>
      <c r="AM181" s="179"/>
      <c r="AN181" s="179"/>
      <c r="AO181" s="179"/>
      <c r="AP181" s="179"/>
      <c r="AQ181" s="179"/>
      <c r="AR181" s="179"/>
      <c r="AS181" s="179"/>
      <c r="AT181" s="179"/>
      <c r="AU181" s="179"/>
      <c r="AV181" s="179"/>
      <c r="AW181" s="179"/>
      <c r="AX181" s="179"/>
      <c r="AY181" s="179"/>
      <c r="AZ181" s="179"/>
      <c r="BA181" s="179"/>
      <c r="BB181" s="179"/>
      <c r="BC181" s="179"/>
      <c r="BD181" s="179"/>
      <c r="BE181" s="179"/>
      <c r="BF181" s="179"/>
      <c r="BG181" s="179"/>
      <c r="BH181" s="179"/>
      <c r="BI181" s="179">
        <f>BI164+BI165+BI166+BI167+BI168+BI169+BI170+BI171+BI172+BI173+BI174+BI175+BI176+BI177+BI178+BI179</f>
        <v>11003135.09</v>
      </c>
      <c r="BJ181" s="179">
        <f t="shared" ref="BJ181:BL181" ca="1" si="180">BJ164+BJ165+BJ166+BJ167+BJ168+BJ169+BJ170+BJ171+BJ172+BJ173+BJ174+BJ175+BJ176+BJ177+BJ178+BJ179</f>
        <v>10458576.09</v>
      </c>
      <c r="BK181" s="179">
        <f t="shared" ca="1" si="180"/>
        <v>10458576.09</v>
      </c>
      <c r="BL181" s="179">
        <f t="shared" si="180"/>
        <v>0</v>
      </c>
      <c r="BM181" s="179">
        <f>BI181+BL181</f>
        <v>11003135.09</v>
      </c>
      <c r="BN181" s="233">
        <v>266.11099999999999</v>
      </c>
      <c r="BO181" s="95">
        <f>BI173</f>
        <v>40000</v>
      </c>
      <c r="BP181" s="96"/>
      <c r="BQ181" s="231">
        <v>244.227</v>
      </c>
      <c r="BR181" s="95">
        <f>BI172</f>
        <v>1600</v>
      </c>
      <c r="BS181" s="96"/>
      <c r="BT181" s="96"/>
      <c r="BU181" s="96"/>
      <c r="BV181" s="96"/>
      <c r="BW181" s="96"/>
      <c r="BX181" s="96"/>
      <c r="BY181" s="96"/>
      <c r="BZ181" s="96"/>
      <c r="CA181" s="96"/>
      <c r="CB181" s="96"/>
      <c r="CC181" s="96"/>
      <c r="CD181" s="96"/>
      <c r="CE181" s="96"/>
      <c r="CF181" s="96"/>
      <c r="CG181" s="96"/>
      <c r="CH181" s="96"/>
      <c r="CI181" s="96"/>
      <c r="CJ181" s="96"/>
      <c r="CK181" s="96"/>
      <c r="CL181" s="96"/>
      <c r="CM181" s="96"/>
      <c r="CN181" s="96"/>
      <c r="CO181" s="96"/>
      <c r="CP181" s="96"/>
      <c r="CQ181" s="96"/>
      <c r="CR181" s="96"/>
    </row>
    <row r="182" spans="1:109">
      <c r="A182" s="90"/>
      <c r="B182" s="207"/>
      <c r="C182" s="88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92"/>
      <c r="AB182" s="92"/>
      <c r="AC182" s="92"/>
      <c r="AD182" s="109"/>
      <c r="AE182" s="92"/>
      <c r="AF182" s="92"/>
      <c r="AG182" s="92"/>
      <c r="AH182" s="92"/>
      <c r="AI182" s="92"/>
      <c r="AJ182" s="92"/>
      <c r="AK182" s="92"/>
      <c r="AL182" s="92"/>
      <c r="AM182" s="92"/>
      <c r="AN182" s="92"/>
      <c r="AO182" s="92"/>
      <c r="AP182" s="92"/>
      <c r="AQ182" s="92"/>
      <c r="AR182" s="92"/>
      <c r="AS182" s="92"/>
      <c r="AT182" s="92"/>
      <c r="AU182" s="92"/>
      <c r="AV182" s="92"/>
      <c r="AW182" s="92"/>
      <c r="AX182" s="92"/>
      <c r="AY182" s="92"/>
      <c r="AZ182" s="92"/>
      <c r="BA182" s="92"/>
      <c r="BB182" s="92"/>
      <c r="BC182" s="92"/>
      <c r="BD182" s="92"/>
      <c r="BE182" s="92"/>
      <c r="BF182" s="92"/>
      <c r="BG182" s="92"/>
      <c r="BH182" s="92"/>
      <c r="BI182" s="128"/>
      <c r="BJ182" s="92"/>
      <c r="BK182" s="92"/>
      <c r="BL182" s="128"/>
      <c r="BM182" s="128"/>
      <c r="BN182" s="234"/>
      <c r="BQ182" s="232"/>
    </row>
    <row r="183" spans="1:109" s="95" customFormat="1" ht="12.75" customHeight="1">
      <c r="A183" s="484" t="s">
        <v>120</v>
      </c>
      <c r="B183" s="484"/>
      <c r="C183" s="484"/>
      <c r="AD183" s="111"/>
      <c r="BI183" s="215"/>
      <c r="BL183" s="215"/>
      <c r="BM183" s="215"/>
      <c r="BN183" s="233">
        <v>211.11099999999999</v>
      </c>
      <c r="BO183" s="95">
        <f>BM164</f>
        <v>6093698.6699999999</v>
      </c>
      <c r="BQ183" s="231">
        <v>244.226</v>
      </c>
      <c r="BR183" s="95">
        <f>BI171</f>
        <v>565070</v>
      </c>
      <c r="CS183" s="206"/>
      <c r="CT183" s="206"/>
      <c r="CU183" s="206"/>
      <c r="CV183" s="206"/>
      <c r="CW183" s="206"/>
      <c r="CX183" s="206"/>
      <c r="CY183" s="206"/>
      <c r="CZ183" s="206"/>
      <c r="DA183" s="206"/>
      <c r="DB183" s="206"/>
      <c r="DC183" s="206"/>
      <c r="DD183" s="206"/>
      <c r="DE183" s="206"/>
    </row>
    <row r="184" spans="1:109" s="95" customFormat="1" ht="15" customHeight="1">
      <c r="A184" s="115"/>
      <c r="B184" s="206"/>
      <c r="C184" s="107"/>
      <c r="D184" s="108"/>
      <c r="E184" s="84"/>
      <c r="AD184" s="111"/>
      <c r="BI184" s="215"/>
      <c r="BL184" s="215"/>
      <c r="BM184" s="215"/>
      <c r="BN184" s="234"/>
      <c r="BQ184" s="232"/>
      <c r="CS184" s="206"/>
      <c r="CT184" s="206"/>
      <c r="CU184" s="206"/>
      <c r="CV184" s="206"/>
      <c r="CW184" s="206"/>
      <c r="CX184" s="206"/>
      <c r="CY184" s="206"/>
      <c r="CZ184" s="206"/>
      <c r="DA184" s="206"/>
      <c r="DB184" s="206"/>
      <c r="DC184" s="206"/>
      <c r="DD184" s="206"/>
      <c r="DE184" s="206"/>
    </row>
    <row r="185" spans="1:109" s="95" customFormat="1" ht="12.75" customHeight="1">
      <c r="A185" s="484" t="s">
        <v>239</v>
      </c>
      <c r="B185" s="484"/>
      <c r="C185" s="484"/>
      <c r="AD185" s="111"/>
      <c r="BI185" s="215"/>
      <c r="BL185" s="215"/>
      <c r="BM185" s="215"/>
      <c r="BN185" s="233">
        <v>296.35000000000002</v>
      </c>
      <c r="BO185" s="95">
        <f>BI174</f>
        <v>69000</v>
      </c>
      <c r="BQ185" s="231">
        <v>244.34200000000001</v>
      </c>
      <c r="BR185" s="95">
        <f>BI176</f>
        <v>28650</v>
      </c>
      <c r="CS185" s="206"/>
      <c r="CT185" s="206"/>
      <c r="CU185" s="206"/>
      <c r="CV185" s="206"/>
      <c r="CW185" s="206"/>
      <c r="CX185" s="206"/>
      <c r="CY185" s="206"/>
      <c r="CZ185" s="206"/>
      <c r="DA185" s="206"/>
      <c r="DB185" s="206"/>
      <c r="DC185" s="206"/>
      <c r="DD185" s="206"/>
      <c r="DE185" s="206"/>
    </row>
    <row r="186" spans="1:109" s="95" customFormat="1" ht="12.75" customHeight="1">
      <c r="A186" s="480"/>
      <c r="B186" s="480"/>
      <c r="C186" s="480"/>
      <c r="AD186" s="111"/>
      <c r="BI186" s="215"/>
      <c r="BL186" s="215"/>
      <c r="BM186" s="215"/>
      <c r="BN186" s="234"/>
      <c r="BQ186" s="231"/>
      <c r="CS186" s="206"/>
      <c r="CT186" s="206"/>
      <c r="CU186" s="206"/>
      <c r="CV186" s="206"/>
      <c r="CW186" s="206"/>
      <c r="CX186" s="206"/>
      <c r="CY186" s="206"/>
      <c r="CZ186" s="206"/>
      <c r="DA186" s="206"/>
      <c r="DB186" s="206"/>
      <c r="DC186" s="206"/>
      <c r="DD186" s="206"/>
      <c r="DE186" s="206"/>
    </row>
    <row r="187" spans="1:109">
      <c r="BQ187" s="231">
        <v>244.22499999999999</v>
      </c>
      <c r="BR187" s="95">
        <f>BI170</f>
        <v>352645</v>
      </c>
    </row>
    <row r="188" spans="1:109">
      <c r="BQ188" s="231"/>
    </row>
    <row r="189" spans="1:109">
      <c r="BO189" s="115">
        <v>247.22300000000001</v>
      </c>
      <c r="BP189" s="95">
        <f>BM169</f>
        <v>336902.31</v>
      </c>
      <c r="BQ189" s="231">
        <v>244.22300000000001</v>
      </c>
      <c r="BR189" s="425">
        <f>BM168</f>
        <v>30217.93</v>
      </c>
    </row>
    <row r="190" spans="1:109" s="95" customFormat="1" ht="0.75" customHeight="1">
      <c r="A190" s="115"/>
      <c r="B190" s="206"/>
      <c r="C190" s="86"/>
      <c r="AD190" s="111"/>
      <c r="BI190" s="215"/>
      <c r="BL190" s="215"/>
      <c r="BM190" s="215"/>
      <c r="BQ190" s="231"/>
      <c r="BR190" s="95" t="s">
        <v>240</v>
      </c>
      <c r="CS190" s="206"/>
      <c r="CT190" s="206"/>
      <c r="CU190" s="206"/>
      <c r="CV190" s="206"/>
      <c r="CW190" s="206"/>
      <c r="CX190" s="206"/>
      <c r="CY190" s="206"/>
      <c r="CZ190" s="206"/>
      <c r="DA190" s="206"/>
      <c r="DB190" s="206"/>
      <c r="DC190" s="206"/>
      <c r="DD190" s="206"/>
      <c r="DE190" s="206"/>
    </row>
    <row r="191" spans="1:109" s="95" customFormat="1" ht="84" hidden="1" customHeight="1">
      <c r="A191" s="115"/>
      <c r="B191" s="206"/>
      <c r="C191" s="86"/>
      <c r="AD191" s="111"/>
      <c r="BI191" s="215"/>
      <c r="BL191" s="215"/>
      <c r="BM191" s="215"/>
      <c r="BQ191" s="231"/>
      <c r="CS191" s="206"/>
      <c r="CT191" s="206"/>
      <c r="CU191" s="206"/>
      <c r="CV191" s="206"/>
      <c r="CW191" s="206"/>
      <c r="CX191" s="206"/>
      <c r="CY191" s="206"/>
      <c r="CZ191" s="206"/>
      <c r="DA191" s="206"/>
      <c r="DB191" s="206"/>
      <c r="DC191" s="206"/>
      <c r="DD191" s="206"/>
      <c r="DE191" s="206"/>
    </row>
    <row r="192" spans="1:109">
      <c r="BQ192" s="231">
        <v>244.22200000000001</v>
      </c>
      <c r="BR192" s="95">
        <f>BI167</f>
        <v>370916</v>
      </c>
    </row>
    <row r="193" spans="1:96">
      <c r="BO193" s="96" t="s">
        <v>130</v>
      </c>
      <c r="BP193" s="96">
        <f>BP189+BR189</f>
        <v>367120.24</v>
      </c>
      <c r="BQ193" s="231"/>
    </row>
    <row r="194" spans="1:96">
      <c r="A194" s="206"/>
      <c r="C194" s="206"/>
      <c r="D194" s="206"/>
      <c r="E194" s="206"/>
      <c r="F194" s="206"/>
      <c r="G194" s="206"/>
      <c r="H194" s="206"/>
      <c r="I194" s="206"/>
      <c r="J194" s="206"/>
      <c r="K194" s="206"/>
      <c r="L194" s="206"/>
      <c r="M194" s="206"/>
      <c r="N194" s="206"/>
      <c r="O194" s="206"/>
      <c r="P194" s="206"/>
      <c r="Q194" s="206"/>
      <c r="R194" s="206"/>
      <c r="S194" s="206"/>
      <c r="T194" s="206"/>
      <c r="U194" s="206"/>
      <c r="V194" s="206"/>
      <c r="W194" s="206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/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  <c r="BI194" s="206"/>
      <c r="BJ194" s="206"/>
      <c r="BK194" s="206"/>
      <c r="BL194" s="206"/>
      <c r="BM194" s="206"/>
      <c r="BN194" s="206"/>
      <c r="BO194" s="206"/>
      <c r="BP194" s="206"/>
      <c r="BQ194" s="231">
        <v>244.221</v>
      </c>
      <c r="BR194" s="95">
        <f>BI166</f>
        <v>41000</v>
      </c>
      <c r="BS194" s="206"/>
      <c r="BT194" s="206"/>
      <c r="BU194" s="206"/>
      <c r="BV194" s="206"/>
      <c r="BW194" s="206"/>
      <c r="BX194" s="206"/>
      <c r="BY194" s="206"/>
      <c r="BZ194" s="206"/>
      <c r="CA194" s="206"/>
      <c r="CB194" s="206"/>
      <c r="CC194" s="206"/>
      <c r="CD194" s="206"/>
      <c r="CE194" s="206"/>
      <c r="CF194" s="206"/>
      <c r="CG194" s="206"/>
      <c r="CH194" s="206"/>
      <c r="CI194" s="206"/>
      <c r="CJ194" s="206"/>
      <c r="CK194" s="206"/>
      <c r="CL194" s="206"/>
      <c r="CM194" s="206"/>
      <c r="CN194" s="206"/>
      <c r="CO194" s="206"/>
      <c r="CP194" s="206"/>
      <c r="CQ194" s="206"/>
      <c r="CR194" s="206"/>
    </row>
    <row r="195" spans="1:96">
      <c r="A195" s="206"/>
      <c r="C195" s="206"/>
      <c r="D195" s="206"/>
      <c r="E195" s="206"/>
      <c r="F195" s="206"/>
      <c r="G195" s="206"/>
      <c r="H195" s="206"/>
      <c r="I195" s="206"/>
      <c r="J195" s="206"/>
      <c r="K195" s="206"/>
      <c r="L195" s="206"/>
      <c r="M195" s="206"/>
      <c r="N195" s="206"/>
      <c r="O195" s="206"/>
      <c r="P195" s="206"/>
      <c r="Q195" s="206"/>
      <c r="R195" s="206"/>
      <c r="S195" s="206"/>
      <c r="T195" s="206"/>
      <c r="U195" s="206"/>
      <c r="V195" s="206"/>
      <c r="W195" s="206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/>
      <c r="AH195" s="206"/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  <c r="BI195" s="206"/>
      <c r="BJ195" s="206"/>
      <c r="BK195" s="206"/>
      <c r="BL195" s="206"/>
      <c r="BM195" s="206"/>
      <c r="BN195" s="206"/>
      <c r="BO195" s="206"/>
      <c r="BP195" s="206"/>
      <c r="BQ195" s="232"/>
      <c r="BS195" s="206"/>
      <c r="BT195" s="206"/>
      <c r="BU195" s="206"/>
      <c r="BV195" s="206"/>
      <c r="BW195" s="206"/>
      <c r="BX195" s="206"/>
      <c r="BY195" s="206"/>
      <c r="BZ195" s="206"/>
      <c r="CA195" s="206"/>
      <c r="CB195" s="206"/>
      <c r="CC195" s="206"/>
      <c r="CD195" s="206"/>
      <c r="CE195" s="206"/>
      <c r="CF195" s="206"/>
      <c r="CG195" s="206"/>
      <c r="CH195" s="206"/>
      <c r="CI195" s="206"/>
      <c r="CJ195" s="206"/>
      <c r="CK195" s="206"/>
      <c r="CL195" s="206"/>
      <c r="CM195" s="206"/>
      <c r="CN195" s="206"/>
      <c r="CO195" s="206"/>
      <c r="CP195" s="206"/>
      <c r="CQ195" s="206"/>
      <c r="CR195" s="206"/>
    </row>
    <row r="196" spans="1:96">
      <c r="A196" s="206"/>
      <c r="C196" s="206"/>
      <c r="D196" s="206"/>
      <c r="E196" s="206"/>
      <c r="F196" s="206"/>
      <c r="G196" s="206"/>
      <c r="H196" s="206"/>
      <c r="I196" s="206"/>
      <c r="J196" s="206"/>
      <c r="K196" s="206"/>
      <c r="L196" s="206"/>
      <c r="M196" s="206"/>
      <c r="N196" s="206"/>
      <c r="O196" s="206"/>
      <c r="P196" s="206"/>
      <c r="Q196" s="206"/>
      <c r="R196" s="206"/>
      <c r="S196" s="206"/>
      <c r="T196" s="206"/>
      <c r="U196" s="206"/>
      <c r="V196" s="206"/>
      <c r="W196" s="206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/>
      <c r="AH196" s="206"/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  <c r="BI196" s="206"/>
      <c r="BJ196" s="206"/>
      <c r="BK196" s="206"/>
      <c r="BL196" s="206"/>
      <c r="BM196" s="206"/>
      <c r="BN196" s="206"/>
      <c r="BO196" s="206"/>
      <c r="BP196" s="206"/>
      <c r="BQ196" s="232" t="s">
        <v>128</v>
      </c>
      <c r="BR196" s="96">
        <f>BR172+BR173+BR174+BR176+BR178+BR181+BR183+BR185+BR187+BR189+BR192+BR194</f>
        <v>2611158.9300000002</v>
      </c>
      <c r="BS196" s="206"/>
      <c r="BT196" s="206"/>
      <c r="BU196" s="206"/>
      <c r="BV196" s="206"/>
      <c r="BW196" s="206"/>
      <c r="BX196" s="206"/>
      <c r="BY196" s="206"/>
      <c r="BZ196" s="206"/>
      <c r="CA196" s="206"/>
      <c r="CB196" s="206"/>
      <c r="CC196" s="206"/>
      <c r="CD196" s="206"/>
      <c r="CE196" s="206"/>
      <c r="CF196" s="206"/>
      <c r="CG196" s="206"/>
      <c r="CH196" s="206"/>
      <c r="CI196" s="206"/>
      <c r="CJ196" s="206"/>
      <c r="CK196" s="206"/>
      <c r="CL196" s="206"/>
      <c r="CM196" s="206"/>
      <c r="CN196" s="206"/>
      <c r="CO196" s="206"/>
      <c r="CP196" s="206"/>
      <c r="CQ196" s="206"/>
      <c r="CR196" s="206"/>
    </row>
    <row r="197" spans="1:96">
      <c r="A197" s="206"/>
      <c r="C197" s="206"/>
      <c r="D197" s="206"/>
      <c r="E197" s="206"/>
      <c r="F197" s="206"/>
      <c r="G197" s="206"/>
      <c r="H197" s="206"/>
      <c r="I197" s="206"/>
      <c r="J197" s="206"/>
      <c r="K197" s="206"/>
      <c r="L197" s="206"/>
      <c r="M197" s="206"/>
      <c r="N197" s="206"/>
      <c r="O197" s="206"/>
      <c r="P197" s="206"/>
      <c r="Q197" s="206"/>
      <c r="R197" s="206"/>
      <c r="S197" s="206"/>
      <c r="T197" s="206"/>
      <c r="U197" s="206"/>
      <c r="V197" s="206"/>
      <c r="W197" s="206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/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  <c r="BI197" s="206"/>
      <c r="BJ197" s="206"/>
      <c r="BK197" s="206"/>
      <c r="BL197" s="206"/>
      <c r="BM197" s="206"/>
      <c r="BN197" s="206"/>
      <c r="BO197" s="206"/>
      <c r="BP197" s="206"/>
      <c r="BQ197" s="232"/>
      <c r="BS197" s="206"/>
      <c r="BT197" s="206"/>
      <c r="BU197" s="206"/>
      <c r="BV197" s="206"/>
      <c r="BW197" s="206"/>
      <c r="BX197" s="206"/>
      <c r="BY197" s="206"/>
      <c r="BZ197" s="206"/>
      <c r="CA197" s="206"/>
      <c r="CB197" s="206"/>
      <c r="CC197" s="206"/>
      <c r="CD197" s="206"/>
      <c r="CE197" s="206"/>
      <c r="CF197" s="206"/>
      <c r="CG197" s="206"/>
      <c r="CH197" s="206"/>
      <c r="CI197" s="206"/>
      <c r="CJ197" s="206"/>
      <c r="CK197" s="206"/>
      <c r="CL197" s="206"/>
      <c r="CM197" s="206"/>
      <c r="CN197" s="206"/>
      <c r="CO197" s="206"/>
      <c r="CP197" s="206"/>
      <c r="CQ197" s="206"/>
      <c r="CR197" s="206"/>
    </row>
    <row r="198" spans="1:96" ht="25.5">
      <c r="BO198" s="96" t="s">
        <v>131</v>
      </c>
    </row>
    <row r="200" spans="1:96">
      <c r="BO200" s="95">
        <f>BR196+BP189</f>
        <v>2948061.24</v>
      </c>
    </row>
    <row r="203" spans="1:96">
      <c r="BO203" s="215"/>
      <c r="BP203" s="215"/>
      <c r="BQ203" s="215"/>
    </row>
    <row r="204" spans="1:96">
      <c r="BO204" s="215">
        <v>111</v>
      </c>
      <c r="BP204" s="215">
        <f>BO181+BO183</f>
        <v>6133698.6699999999</v>
      </c>
      <c r="BQ204" s="215"/>
    </row>
    <row r="205" spans="1:96">
      <c r="BO205" s="215">
        <v>119</v>
      </c>
      <c r="BP205" s="215">
        <f>BO178</f>
        <v>1852375.1800000004</v>
      </c>
      <c r="BQ205" s="215"/>
    </row>
    <row r="206" spans="1:96">
      <c r="BO206" s="215">
        <v>244</v>
      </c>
      <c r="BP206" s="215">
        <f>BR196</f>
        <v>2611158.9300000002</v>
      </c>
      <c r="BQ206" s="215"/>
    </row>
    <row r="207" spans="1:96">
      <c r="BO207" s="215">
        <v>247</v>
      </c>
      <c r="BP207" s="215">
        <f>BP189</f>
        <v>336902.31</v>
      </c>
      <c r="BQ207" s="215"/>
    </row>
    <row r="208" spans="1:96">
      <c r="BO208" s="215">
        <v>350</v>
      </c>
      <c r="BP208" s="215">
        <f>BO185</f>
        <v>69000</v>
      </c>
      <c r="BQ208" s="215"/>
    </row>
    <row r="209" spans="67:69">
      <c r="BO209" s="215"/>
      <c r="BP209" s="197">
        <f>BP204+BP205+BP206+BP207+BP208</f>
        <v>11003135.090000002</v>
      </c>
      <c r="BQ209" s="215"/>
    </row>
    <row r="210" spans="67:69">
      <c r="BO210" s="215"/>
      <c r="BP210" s="215"/>
      <c r="BQ210" s="215"/>
    </row>
  </sheetData>
  <mergeCells count="13">
    <mergeCell ref="A183:C183"/>
    <mergeCell ref="A185:C185"/>
    <mergeCell ref="A186:C186"/>
    <mergeCell ref="A104:C104"/>
    <mergeCell ref="A77:C77"/>
    <mergeCell ref="A101:C101"/>
    <mergeCell ref="A109:C109"/>
    <mergeCell ref="A162:C162"/>
    <mergeCell ref="A1:BL2"/>
    <mergeCell ref="A7:C7"/>
    <mergeCell ref="A24:C24"/>
    <mergeCell ref="A31:C31"/>
    <mergeCell ref="A36:C36"/>
  </mergeCells>
  <pageMargins left="0.23622047244094491" right="0.23622047244094491" top="0.74803149606299213" bottom="0.74803149606299213" header="0.31496062992125984" footer="0.31496062992125984"/>
  <pageSetup paperSize="9" scale="90" fitToHeight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T36"/>
  <sheetViews>
    <sheetView topLeftCell="A19" workbookViewId="0">
      <selection activeCell="AY42" sqref="AY42"/>
    </sheetView>
  </sheetViews>
  <sheetFormatPr defaultRowHeight="10.5"/>
  <cols>
    <col min="1" max="1" width="13" style="2" customWidth="1"/>
    <col min="2" max="2" width="6.6640625" style="2" customWidth="1"/>
    <col min="3" max="3" width="9.33203125" style="2" hidden="1" customWidth="1"/>
    <col min="4" max="4" width="9.1640625" style="2" hidden="1" customWidth="1"/>
    <col min="5" max="5" width="8.83203125" style="2" hidden="1" customWidth="1"/>
    <col min="6" max="6" width="10.83203125" style="2" hidden="1" customWidth="1"/>
    <col min="7" max="7" width="9.1640625" style="2" hidden="1" customWidth="1"/>
    <col min="8" max="8" width="8.6640625" style="2" hidden="1" customWidth="1"/>
    <col min="9" max="9" width="9.33203125" style="2" hidden="1" customWidth="1"/>
    <col min="10" max="10" width="9.6640625" style="2" hidden="1" customWidth="1"/>
    <col min="11" max="11" width="10.6640625" style="2" hidden="1" customWidth="1"/>
    <col min="12" max="12" width="2" style="2" hidden="1" customWidth="1"/>
    <col min="13" max="13" width="3" style="2" hidden="1" customWidth="1"/>
    <col min="14" max="14" width="9" style="2" hidden="1" customWidth="1"/>
    <col min="15" max="15" width="14" style="2" hidden="1" customWidth="1"/>
    <col min="16" max="16" width="8.1640625" style="20" hidden="1" customWidth="1"/>
    <col min="17" max="17" width="12.1640625" style="2" hidden="1" customWidth="1"/>
    <col min="18" max="18" width="10" style="2" hidden="1" customWidth="1"/>
    <col min="19" max="19" width="11.6640625" style="2" hidden="1" customWidth="1"/>
    <col min="20" max="20" width="14.5" style="2" hidden="1" customWidth="1"/>
    <col min="21" max="21" width="16.1640625" style="2" hidden="1" customWidth="1"/>
    <col min="22" max="22" width="10.83203125" style="2" hidden="1" customWidth="1"/>
    <col min="23" max="23" width="9.1640625" style="2" hidden="1" customWidth="1"/>
    <col min="24" max="24" width="14.5" style="2" hidden="1" customWidth="1"/>
    <col min="25" max="25" width="9.6640625" style="2" hidden="1" customWidth="1"/>
    <col min="26" max="26" width="7.6640625" style="2" hidden="1" customWidth="1"/>
    <col min="27" max="27" width="9.5" style="2" hidden="1" customWidth="1"/>
    <col min="28" max="28" width="9" style="2" customWidth="1"/>
    <col min="29" max="29" width="15.33203125" style="2" hidden="1" customWidth="1"/>
    <col min="30" max="30" width="7.5" style="2" hidden="1" customWidth="1"/>
    <col min="31" max="31" width="8.33203125" style="2" hidden="1" customWidth="1"/>
    <col min="32" max="32" width="9" style="2" hidden="1" customWidth="1"/>
    <col min="33" max="33" width="7.5" style="2" hidden="1" customWidth="1"/>
    <col min="34" max="34" width="8.6640625" style="2" hidden="1" customWidth="1"/>
    <col min="35" max="35" width="7.1640625" style="2" hidden="1" customWidth="1"/>
    <col min="36" max="36" width="8.6640625" style="2" hidden="1" customWidth="1"/>
    <col min="37" max="38" width="8.6640625" style="2" customWidth="1"/>
    <col min="39" max="39" width="12" style="2" customWidth="1"/>
    <col min="40" max="40" width="8.6640625" style="2" hidden="1" customWidth="1"/>
    <col min="41" max="43" width="8.33203125" style="2" hidden="1" customWidth="1"/>
    <col min="44" max="44" width="10.5" style="2" hidden="1" customWidth="1"/>
    <col min="45" max="45" width="10.83203125" style="2" hidden="1" customWidth="1"/>
    <col min="46" max="46" width="8" style="2" hidden="1" customWidth="1"/>
    <col min="47" max="47" width="7" style="2" hidden="1" customWidth="1"/>
    <col min="48" max="48" width="8.6640625" style="2" customWidth="1"/>
    <col min="49" max="49" width="9.6640625" style="2" customWidth="1"/>
    <col min="50" max="50" width="8" style="2" customWidth="1"/>
    <col min="51" max="51" width="7.1640625" style="2" customWidth="1"/>
    <col min="52" max="52" width="8" style="2" customWidth="1"/>
    <col min="53" max="53" width="8.6640625" style="2" customWidth="1"/>
    <col min="54" max="54" width="8.1640625" style="2" hidden="1" customWidth="1"/>
    <col min="55" max="57" width="8.33203125" style="2" hidden="1" customWidth="1"/>
    <col min="58" max="58" width="7.5" style="2" customWidth="1"/>
    <col min="59" max="60" width="8.33203125" style="2" hidden="1" customWidth="1"/>
    <col min="61" max="61" width="8.33203125" style="2" customWidth="1"/>
    <col min="62" max="62" width="7.33203125" style="2" customWidth="1"/>
    <col min="63" max="63" width="8.33203125" style="2" customWidth="1"/>
    <col min="64" max="64" width="8" style="2" customWidth="1"/>
    <col min="65" max="65" width="8.5" style="2" customWidth="1"/>
    <col min="66" max="66" width="9.83203125" style="2" customWidth="1"/>
    <col min="67" max="67" width="12.33203125" style="2" customWidth="1"/>
    <col min="68" max="69" width="9.33203125" style="2"/>
    <col min="70" max="70" width="16.6640625" style="2" customWidth="1"/>
    <col min="71" max="71" width="16.33203125" style="2" customWidth="1"/>
    <col min="72" max="16384" width="9.33203125" style="2"/>
  </cols>
  <sheetData>
    <row r="1" spans="1:72" ht="12.75" customHeight="1">
      <c r="A1" s="488" t="s">
        <v>31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488"/>
      <c r="V1" s="488"/>
      <c r="W1" s="488"/>
      <c r="X1" s="488"/>
      <c r="Y1" s="488"/>
      <c r="Z1" s="488"/>
      <c r="AA1" s="488"/>
      <c r="AB1" s="488"/>
      <c r="AC1" s="488"/>
      <c r="AD1" s="488"/>
      <c r="AE1" s="488"/>
      <c r="AF1" s="488"/>
      <c r="AG1" s="488"/>
      <c r="AH1" s="488"/>
      <c r="AI1" s="488"/>
      <c r="AJ1" s="488"/>
      <c r="AK1" s="488"/>
      <c r="AL1" s="78"/>
      <c r="AM1" s="78"/>
      <c r="AN1" s="78"/>
      <c r="AO1" s="78"/>
    </row>
    <row r="2" spans="1:72" ht="12" customHeight="1">
      <c r="A2" s="488" t="s">
        <v>32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8"/>
      <c r="T2" s="488"/>
      <c r="U2" s="488"/>
      <c r="V2" s="488"/>
      <c r="W2" s="488"/>
      <c r="X2" s="488"/>
      <c r="Y2" s="488"/>
      <c r="Z2" s="488"/>
      <c r="AA2" s="488"/>
      <c r="AB2" s="488"/>
      <c r="AC2" s="488"/>
      <c r="AD2" s="488"/>
      <c r="AE2" s="488"/>
      <c r="AF2" s="488"/>
      <c r="AG2" s="488"/>
      <c r="AH2" s="488"/>
      <c r="AI2" s="488"/>
      <c r="AJ2" s="488"/>
      <c r="AK2" s="488"/>
      <c r="AL2" s="78"/>
      <c r="AM2" s="78"/>
      <c r="AN2" s="78"/>
      <c r="AO2" s="78"/>
    </row>
    <row r="3" spans="1:72" ht="12.75" customHeight="1">
      <c r="A3" s="488" t="s">
        <v>50</v>
      </c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488"/>
      <c r="T3" s="488"/>
      <c r="U3" s="488"/>
      <c r="V3" s="488"/>
      <c r="W3" s="488"/>
      <c r="X3" s="488"/>
      <c r="Y3" s="488"/>
      <c r="Z3" s="488"/>
      <c r="AA3" s="488"/>
      <c r="AB3" s="488"/>
      <c r="AC3" s="488"/>
      <c r="AD3" s="488"/>
      <c r="AE3" s="488"/>
      <c r="AF3" s="488"/>
      <c r="AG3" s="488"/>
      <c r="AH3" s="488"/>
      <c r="AI3" s="488"/>
      <c r="AJ3" s="488"/>
      <c r="AK3" s="488"/>
      <c r="AL3" s="78"/>
      <c r="AM3" s="78"/>
      <c r="AN3" s="78"/>
      <c r="AO3" s="78"/>
    </row>
    <row r="4" spans="1:72" ht="20.25" customHeight="1">
      <c r="A4" s="488" t="s">
        <v>33</v>
      </c>
      <c r="B4" s="488"/>
      <c r="C4" s="488"/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488"/>
      <c r="P4" s="488"/>
      <c r="Q4" s="488"/>
      <c r="R4" s="488"/>
      <c r="S4" s="488"/>
      <c r="T4" s="488"/>
      <c r="U4" s="488"/>
      <c r="V4" s="488"/>
      <c r="W4" s="488"/>
      <c r="X4" s="488"/>
      <c r="Y4" s="488"/>
      <c r="Z4" s="488"/>
      <c r="AA4" s="488"/>
      <c r="AB4" s="488"/>
      <c r="AC4" s="488"/>
      <c r="AD4" s="488"/>
      <c r="AE4" s="488"/>
      <c r="AF4" s="488"/>
      <c r="AG4" s="488"/>
      <c r="AH4" s="488"/>
      <c r="AI4" s="488"/>
      <c r="AJ4" s="488"/>
      <c r="AK4" s="488"/>
      <c r="AL4" s="78"/>
      <c r="AM4" s="78"/>
      <c r="AN4" s="78"/>
      <c r="AO4" s="78"/>
    </row>
    <row r="5" spans="1:72" ht="19.5" customHeight="1">
      <c r="A5" s="515" t="s">
        <v>51</v>
      </c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  <c r="P5" s="515"/>
      <c r="Q5" s="515"/>
      <c r="R5" s="515"/>
      <c r="S5" s="515"/>
      <c r="T5" s="515"/>
      <c r="U5" s="515"/>
      <c r="V5" s="515"/>
      <c r="W5" s="515"/>
      <c r="X5" s="515"/>
      <c r="Y5" s="515"/>
      <c r="Z5" s="515"/>
      <c r="AA5" s="515"/>
      <c r="AB5" s="515"/>
      <c r="AC5" s="515"/>
      <c r="AD5" s="515"/>
      <c r="AE5" s="515"/>
      <c r="AF5" s="515"/>
      <c r="AG5" s="515"/>
      <c r="AH5" s="515"/>
      <c r="AI5" s="515"/>
      <c r="AJ5" s="515"/>
      <c r="AK5" s="515"/>
      <c r="AL5" s="515"/>
      <c r="AM5" s="515"/>
      <c r="AN5" s="515"/>
      <c r="AO5" s="515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</row>
    <row r="6" spans="1:72" hidden="1"/>
    <row r="7" spans="1:72" ht="15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</row>
    <row r="8" spans="1:72" ht="12.75" customHeight="1">
      <c r="A8" s="503" t="s">
        <v>35</v>
      </c>
      <c r="B8" s="503"/>
      <c r="C8" s="501" t="s">
        <v>46</v>
      </c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  <c r="AI8" s="501"/>
      <c r="AJ8" s="501"/>
      <c r="AK8" s="501"/>
      <c r="AL8" s="501"/>
      <c r="AM8" s="59"/>
      <c r="AN8" s="59"/>
      <c r="AO8" s="59"/>
      <c r="AP8" s="59"/>
      <c r="AQ8" s="59"/>
      <c r="AR8" s="59"/>
      <c r="AS8" s="59"/>
      <c r="AT8" s="59"/>
      <c r="AU8" s="59"/>
      <c r="AV8" s="61"/>
      <c r="AW8" s="61"/>
      <c r="AX8" s="59"/>
      <c r="AY8" s="61"/>
      <c r="AZ8" s="61"/>
      <c r="BA8" s="59"/>
      <c r="BB8" s="59"/>
      <c r="BC8" s="59"/>
      <c r="BD8" s="59"/>
      <c r="BE8" s="59"/>
      <c r="BF8" s="59"/>
      <c r="BG8" s="59"/>
      <c r="BH8" s="59"/>
      <c r="BI8" s="61"/>
      <c r="BJ8" s="61"/>
      <c r="BK8" s="59"/>
      <c r="BL8" s="61"/>
      <c r="BM8" s="61"/>
      <c r="BN8" s="23"/>
    </row>
    <row r="9" spans="1:72" ht="12" customHeight="1">
      <c r="A9" s="503" t="s">
        <v>36</v>
      </c>
      <c r="B9" s="503"/>
      <c r="C9" s="503"/>
      <c r="D9" s="503"/>
      <c r="E9" s="503"/>
      <c r="F9" s="503"/>
      <c r="G9" s="503"/>
      <c r="H9" s="503"/>
      <c r="I9" s="503"/>
      <c r="J9" s="503"/>
      <c r="K9" s="503"/>
      <c r="L9" s="503"/>
      <c r="M9" s="503"/>
      <c r="N9" s="503"/>
      <c r="O9" s="503"/>
      <c r="P9" s="503"/>
      <c r="Q9" s="503"/>
      <c r="R9" s="503"/>
      <c r="S9" s="503"/>
      <c r="T9" s="503"/>
      <c r="U9" s="503"/>
      <c r="V9" s="503"/>
      <c r="W9" s="503"/>
      <c r="X9" s="503"/>
      <c r="Y9" s="503"/>
      <c r="Z9" s="503"/>
      <c r="AA9" s="503"/>
      <c r="AB9" s="503"/>
      <c r="AC9" s="503"/>
      <c r="AD9" s="503"/>
      <c r="AE9" s="503"/>
      <c r="AF9" s="503"/>
      <c r="AG9" s="503"/>
      <c r="AH9" s="503"/>
      <c r="AI9" s="503"/>
      <c r="AJ9" s="503"/>
      <c r="AK9" s="503"/>
      <c r="AL9" s="503"/>
      <c r="AM9" s="503"/>
      <c r="AN9" s="503"/>
      <c r="AO9" s="503"/>
      <c r="AP9" s="503"/>
      <c r="AQ9" s="503"/>
      <c r="AR9" s="503"/>
      <c r="AS9" s="503"/>
      <c r="AT9" s="503"/>
      <c r="AU9" s="503"/>
      <c r="AV9" s="503"/>
      <c r="AW9" s="503"/>
      <c r="AX9" s="503"/>
      <c r="AY9" s="503"/>
      <c r="AZ9" s="503"/>
      <c r="BA9" s="503"/>
      <c r="BB9" s="503"/>
      <c r="BC9" s="503"/>
      <c r="BD9" s="503"/>
      <c r="BE9" s="503"/>
      <c r="BF9" s="503"/>
      <c r="BG9" s="503"/>
      <c r="BH9" s="503"/>
      <c r="BI9" s="503"/>
      <c r="BJ9" s="503"/>
      <c r="BK9" s="503"/>
      <c r="BL9" s="503"/>
      <c r="BM9" s="503"/>
      <c r="BN9" s="503"/>
    </row>
    <row r="10" spans="1:72" ht="13.5" customHeight="1">
      <c r="A10" s="526" t="s">
        <v>52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526"/>
      <c r="Z10" s="526"/>
      <c r="AA10" s="526"/>
      <c r="AB10" s="526"/>
      <c r="AC10" s="526"/>
      <c r="AD10" s="526"/>
      <c r="AE10" s="526"/>
      <c r="AF10" s="526"/>
      <c r="AG10" s="526"/>
      <c r="AH10" s="526"/>
      <c r="AI10" s="526"/>
      <c r="AJ10" s="526"/>
      <c r="AK10" s="526"/>
      <c r="AL10" s="526"/>
      <c r="AM10" s="526"/>
      <c r="AN10" s="526"/>
      <c r="AO10" s="526"/>
      <c r="AP10" s="526"/>
      <c r="AQ10" s="526"/>
      <c r="AR10" s="526"/>
      <c r="AS10" s="526"/>
      <c r="AT10" s="526"/>
      <c r="AU10" s="526"/>
      <c r="AV10" s="526"/>
      <c r="AW10" s="526"/>
      <c r="AX10" s="526"/>
      <c r="AY10" s="526"/>
      <c r="AZ10" s="526"/>
      <c r="BA10" s="526"/>
      <c r="BB10" s="526"/>
      <c r="BC10" s="526"/>
      <c r="BD10" s="526"/>
      <c r="BE10" s="526"/>
      <c r="BF10" s="526"/>
      <c r="BG10" s="526"/>
      <c r="BH10" s="526"/>
      <c r="BI10" s="526"/>
      <c r="BJ10" s="526"/>
      <c r="BK10" s="526"/>
      <c r="BL10" s="526"/>
      <c r="BM10" s="526"/>
      <c r="BN10" s="526"/>
    </row>
    <row r="11" spans="1:72">
      <c r="C11" s="4"/>
      <c r="D11" s="4"/>
      <c r="E11" s="4"/>
      <c r="F11" s="4"/>
      <c r="G11" s="4"/>
      <c r="H11" s="5"/>
      <c r="I11" s="5"/>
      <c r="J11" s="4"/>
      <c r="K11" s="528"/>
      <c r="L11" s="528"/>
      <c r="M11" s="528"/>
      <c r="N11" s="47"/>
      <c r="O11" s="47"/>
      <c r="P11" s="6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55"/>
      <c r="AI11" s="55"/>
      <c r="AJ11" s="55"/>
      <c r="AK11" s="77"/>
      <c r="AL11" s="77"/>
      <c r="AM11" s="55"/>
      <c r="AN11" s="55"/>
      <c r="AO11" s="55"/>
      <c r="AP11" s="55"/>
      <c r="AQ11" s="55"/>
      <c r="AR11" s="55"/>
      <c r="AS11" s="55"/>
      <c r="AT11" s="55"/>
      <c r="AU11" s="55"/>
      <c r="AV11" s="77"/>
      <c r="AW11" s="77"/>
      <c r="AX11" s="55"/>
      <c r="AY11" s="77"/>
      <c r="AZ11" s="77"/>
      <c r="BA11" s="55"/>
      <c r="BB11" s="55"/>
      <c r="BC11" s="55"/>
      <c r="BD11" s="55"/>
      <c r="BE11" s="55"/>
      <c r="BF11" s="55"/>
      <c r="BG11" s="55"/>
      <c r="BH11" s="55"/>
      <c r="BI11" s="77"/>
      <c r="BJ11" s="77"/>
      <c r="BK11" s="55"/>
      <c r="BL11" s="77"/>
      <c r="BM11" s="77"/>
      <c r="BN11" s="4"/>
    </row>
    <row r="12" spans="1:72" ht="58.5" customHeight="1">
      <c r="A12" s="529" t="s">
        <v>14</v>
      </c>
      <c r="B12" s="529"/>
      <c r="C12" s="46" t="s">
        <v>37</v>
      </c>
      <c r="D12" s="46" t="s">
        <v>38</v>
      </c>
      <c r="E12" s="44" t="s">
        <v>37</v>
      </c>
      <c r="F12" s="44" t="s">
        <v>37</v>
      </c>
      <c r="G12" s="44" t="s">
        <v>38</v>
      </c>
      <c r="H12" s="46" t="s">
        <v>48</v>
      </c>
      <c r="I12" s="46" t="s">
        <v>37</v>
      </c>
      <c r="J12" s="44" t="s">
        <v>37</v>
      </c>
      <c r="K12" s="530" t="s">
        <v>37</v>
      </c>
      <c r="L12" s="531"/>
      <c r="M12" s="532"/>
      <c r="N12" s="46" t="s">
        <v>48</v>
      </c>
      <c r="O12" s="46" t="s">
        <v>37</v>
      </c>
      <c r="P12" s="45" t="s">
        <v>38</v>
      </c>
      <c r="Q12" s="46" t="s">
        <v>37</v>
      </c>
      <c r="R12" s="45" t="s">
        <v>38</v>
      </c>
      <c r="S12" s="46" t="s">
        <v>48</v>
      </c>
      <c r="T12" s="56" t="s">
        <v>48</v>
      </c>
      <c r="U12" s="46" t="s">
        <v>37</v>
      </c>
      <c r="V12" s="56" t="s">
        <v>48</v>
      </c>
      <c r="W12" s="56" t="s">
        <v>48</v>
      </c>
      <c r="X12" s="46" t="s">
        <v>37</v>
      </c>
      <c r="Y12" s="46" t="s">
        <v>37</v>
      </c>
      <c r="Z12" s="56" t="s">
        <v>48</v>
      </c>
      <c r="AA12" s="56" t="s">
        <v>48</v>
      </c>
      <c r="AB12" s="79" t="s">
        <v>37</v>
      </c>
      <c r="AC12" s="46" t="s">
        <v>37</v>
      </c>
      <c r="AD12" s="46" t="s">
        <v>37</v>
      </c>
      <c r="AE12" s="46" t="s">
        <v>37</v>
      </c>
      <c r="AF12" s="46" t="s">
        <v>45</v>
      </c>
      <c r="AG12" s="45" t="s">
        <v>38</v>
      </c>
      <c r="AH12" s="46" t="s">
        <v>48</v>
      </c>
      <c r="AI12" s="56" t="s">
        <v>48</v>
      </c>
      <c r="AJ12" s="56" t="s">
        <v>48</v>
      </c>
      <c r="AK12" s="79" t="s">
        <v>48</v>
      </c>
      <c r="AL12" s="79" t="s">
        <v>45</v>
      </c>
      <c r="AM12" s="79" t="s">
        <v>37</v>
      </c>
      <c r="AN12" s="79" t="s">
        <v>37</v>
      </c>
      <c r="AO12" s="79" t="s">
        <v>37</v>
      </c>
      <c r="AP12" s="79" t="s">
        <v>37</v>
      </c>
      <c r="AQ12" s="79" t="s">
        <v>37</v>
      </c>
      <c r="AR12" s="79" t="s">
        <v>37</v>
      </c>
      <c r="AS12" s="79" t="s">
        <v>37</v>
      </c>
      <c r="AT12" s="79" t="s">
        <v>37</v>
      </c>
      <c r="AU12" s="79" t="s">
        <v>48</v>
      </c>
      <c r="AV12" s="79" t="s">
        <v>48</v>
      </c>
      <c r="AW12" s="79" t="s">
        <v>45</v>
      </c>
      <c r="AX12" s="79" t="s">
        <v>37</v>
      </c>
      <c r="AY12" s="79" t="s">
        <v>48</v>
      </c>
      <c r="AZ12" s="79" t="s">
        <v>45</v>
      </c>
      <c r="BA12" s="79" t="s">
        <v>37</v>
      </c>
      <c r="BB12" s="79" t="s">
        <v>37</v>
      </c>
      <c r="BC12" s="79" t="s">
        <v>37</v>
      </c>
      <c r="BD12" s="79" t="s">
        <v>48</v>
      </c>
      <c r="BE12" s="79" t="s">
        <v>48</v>
      </c>
      <c r="BF12" s="79" t="s">
        <v>37</v>
      </c>
      <c r="BG12" s="79" t="s">
        <v>37</v>
      </c>
      <c r="BH12" s="79" t="s">
        <v>48</v>
      </c>
      <c r="BI12" s="79" t="s">
        <v>48</v>
      </c>
      <c r="BJ12" s="79" t="s">
        <v>45</v>
      </c>
      <c r="BK12" s="79" t="s">
        <v>37</v>
      </c>
      <c r="BL12" s="79" t="s">
        <v>48</v>
      </c>
      <c r="BM12" s="79" t="s">
        <v>45</v>
      </c>
      <c r="BN12" s="44"/>
    </row>
    <row r="13" spans="1:72" s="30" customFormat="1" ht="9.75" customHeight="1">
      <c r="A13" s="504">
        <v>1</v>
      </c>
      <c r="B13" s="504"/>
      <c r="C13" s="54">
        <v>1</v>
      </c>
      <c r="D13" s="53">
        <v>2</v>
      </c>
      <c r="E13" s="54">
        <v>2</v>
      </c>
      <c r="F13" s="54">
        <v>4</v>
      </c>
      <c r="G13" s="54">
        <v>5</v>
      </c>
      <c r="H13" s="54">
        <v>3</v>
      </c>
      <c r="I13" s="54">
        <v>2</v>
      </c>
      <c r="J13" s="54">
        <v>5</v>
      </c>
      <c r="K13" s="505">
        <v>7</v>
      </c>
      <c r="L13" s="506"/>
      <c r="M13" s="507"/>
      <c r="N13" s="38">
        <v>6</v>
      </c>
      <c r="O13" s="38">
        <v>3</v>
      </c>
      <c r="P13" s="39">
        <v>8</v>
      </c>
      <c r="Q13" s="54">
        <v>8</v>
      </c>
      <c r="R13" s="54">
        <v>11</v>
      </c>
      <c r="S13" s="54">
        <v>9</v>
      </c>
      <c r="T13" s="54">
        <v>4</v>
      </c>
      <c r="U13" s="54">
        <v>3</v>
      </c>
      <c r="V13" s="54">
        <v>4</v>
      </c>
      <c r="W13" s="54">
        <v>3</v>
      </c>
      <c r="X13" s="54">
        <v>2</v>
      </c>
      <c r="Y13" s="54">
        <v>5</v>
      </c>
      <c r="Z13" s="54">
        <v>6</v>
      </c>
      <c r="AA13" s="54">
        <v>3</v>
      </c>
      <c r="AB13" s="54">
        <v>2</v>
      </c>
      <c r="AC13" s="54">
        <v>5</v>
      </c>
      <c r="AD13" s="54">
        <v>8</v>
      </c>
      <c r="AE13" s="54">
        <v>11</v>
      </c>
      <c r="AF13" s="54">
        <v>15</v>
      </c>
      <c r="AG13" s="54">
        <v>14</v>
      </c>
      <c r="AH13" s="54">
        <v>12</v>
      </c>
      <c r="AI13" s="54">
        <v>9</v>
      </c>
      <c r="AJ13" s="54">
        <v>6</v>
      </c>
      <c r="AK13" s="76">
        <v>3</v>
      </c>
      <c r="AL13" s="76">
        <v>4</v>
      </c>
      <c r="AM13" s="76">
        <v>5</v>
      </c>
      <c r="AN13" s="76">
        <v>8</v>
      </c>
      <c r="AO13" s="76">
        <v>11</v>
      </c>
      <c r="AP13" s="76">
        <v>14</v>
      </c>
      <c r="AQ13" s="76">
        <v>15</v>
      </c>
      <c r="AR13" s="76">
        <v>8</v>
      </c>
      <c r="AS13" s="76">
        <v>9</v>
      </c>
      <c r="AT13" s="76">
        <v>12</v>
      </c>
      <c r="AU13" s="76">
        <v>9</v>
      </c>
      <c r="AV13" s="76">
        <v>6</v>
      </c>
      <c r="AW13" s="76">
        <v>7</v>
      </c>
      <c r="AX13" s="76">
        <v>8</v>
      </c>
      <c r="AY13" s="76">
        <v>9</v>
      </c>
      <c r="AZ13" s="76">
        <v>10</v>
      </c>
      <c r="BA13" s="76">
        <v>11</v>
      </c>
      <c r="BB13" s="76">
        <v>12</v>
      </c>
      <c r="BC13" s="76">
        <v>15</v>
      </c>
      <c r="BD13" s="76">
        <v>16</v>
      </c>
      <c r="BE13" s="76">
        <v>13</v>
      </c>
      <c r="BF13" s="76">
        <v>12</v>
      </c>
      <c r="BG13" s="76">
        <v>15</v>
      </c>
      <c r="BH13" s="76">
        <v>16</v>
      </c>
      <c r="BI13" s="76">
        <v>13</v>
      </c>
      <c r="BJ13" s="76">
        <v>14</v>
      </c>
      <c r="BK13" s="76">
        <v>15</v>
      </c>
      <c r="BL13" s="76">
        <v>16</v>
      </c>
      <c r="BM13" s="76">
        <v>17</v>
      </c>
      <c r="BN13" s="76" t="s">
        <v>53</v>
      </c>
    </row>
    <row r="14" spans="1:72" ht="75" customHeight="1">
      <c r="A14" s="527" t="s">
        <v>15</v>
      </c>
      <c r="B14" s="527"/>
      <c r="C14" s="42" t="s">
        <v>18</v>
      </c>
      <c r="D14" s="42" t="s">
        <v>18</v>
      </c>
      <c r="E14" s="42" t="s">
        <v>18</v>
      </c>
      <c r="F14" s="42" t="s">
        <v>16</v>
      </c>
      <c r="G14" s="43" t="s">
        <v>16</v>
      </c>
      <c r="H14" s="42" t="s">
        <v>18</v>
      </c>
      <c r="I14" s="42" t="s">
        <v>18</v>
      </c>
      <c r="J14" s="43" t="s">
        <v>16</v>
      </c>
      <c r="K14" s="508" t="s">
        <v>17</v>
      </c>
      <c r="L14" s="509"/>
      <c r="M14" s="510"/>
      <c r="N14" s="43" t="s">
        <v>16</v>
      </c>
      <c r="O14" s="43" t="s">
        <v>16</v>
      </c>
      <c r="P14" s="40" t="s">
        <v>17</v>
      </c>
      <c r="Q14" s="40" t="s">
        <v>17</v>
      </c>
      <c r="R14" s="41" t="s">
        <v>20</v>
      </c>
      <c r="S14" s="40" t="s">
        <v>17</v>
      </c>
      <c r="T14" s="43" t="s">
        <v>16</v>
      </c>
      <c r="U14" s="43" t="s">
        <v>16</v>
      </c>
      <c r="V14" s="43" t="s">
        <v>16</v>
      </c>
      <c r="W14" s="42" t="s">
        <v>18</v>
      </c>
      <c r="X14" s="42" t="s">
        <v>18</v>
      </c>
      <c r="Y14" s="43" t="s">
        <v>16</v>
      </c>
      <c r="Z14" s="43" t="s">
        <v>16</v>
      </c>
      <c r="AA14" s="42" t="s">
        <v>18</v>
      </c>
      <c r="AB14" s="42" t="s">
        <v>18</v>
      </c>
      <c r="AC14" s="42" t="s">
        <v>16</v>
      </c>
      <c r="AD14" s="42" t="s">
        <v>17</v>
      </c>
      <c r="AE14" s="42" t="s">
        <v>49</v>
      </c>
      <c r="AF14" s="42" t="s">
        <v>19</v>
      </c>
      <c r="AG14" s="42" t="s">
        <v>19</v>
      </c>
      <c r="AH14" s="42" t="s">
        <v>49</v>
      </c>
      <c r="AI14" s="42" t="s">
        <v>17</v>
      </c>
      <c r="AJ14" s="42" t="s">
        <v>16</v>
      </c>
      <c r="AK14" s="42" t="s">
        <v>18</v>
      </c>
      <c r="AL14" s="42" t="s">
        <v>18</v>
      </c>
      <c r="AM14" s="42" t="s">
        <v>16</v>
      </c>
      <c r="AN14" s="42" t="s">
        <v>17</v>
      </c>
      <c r="AO14" s="42" t="s">
        <v>49</v>
      </c>
      <c r="AP14" s="42" t="s">
        <v>19</v>
      </c>
      <c r="AQ14" s="42" t="s">
        <v>19</v>
      </c>
      <c r="AR14" s="42" t="s">
        <v>19</v>
      </c>
      <c r="AS14" s="42" t="s">
        <v>19</v>
      </c>
      <c r="AT14" s="42" t="s">
        <v>49</v>
      </c>
      <c r="AU14" s="42" t="s">
        <v>17</v>
      </c>
      <c r="AV14" s="42" t="s">
        <v>16</v>
      </c>
      <c r="AW14" s="42" t="s">
        <v>16</v>
      </c>
      <c r="AX14" s="42" t="s">
        <v>17</v>
      </c>
      <c r="AY14" s="42" t="s">
        <v>17</v>
      </c>
      <c r="AZ14" s="42" t="s">
        <v>17</v>
      </c>
      <c r="BA14" s="42" t="s">
        <v>49</v>
      </c>
      <c r="BB14" s="42" t="s">
        <v>19</v>
      </c>
      <c r="BC14" s="42" t="s">
        <v>47</v>
      </c>
      <c r="BD14" s="42" t="s">
        <v>47</v>
      </c>
      <c r="BE14" s="42" t="s">
        <v>19</v>
      </c>
      <c r="BF14" s="42" t="s">
        <v>19</v>
      </c>
      <c r="BG14" s="42" t="s">
        <v>47</v>
      </c>
      <c r="BH14" s="42" t="s">
        <v>47</v>
      </c>
      <c r="BI14" s="42" t="s">
        <v>19</v>
      </c>
      <c r="BJ14" s="42" t="s">
        <v>19</v>
      </c>
      <c r="BK14" s="42" t="s">
        <v>47</v>
      </c>
      <c r="BL14" s="42" t="s">
        <v>47</v>
      </c>
      <c r="BM14" s="42" t="s">
        <v>47</v>
      </c>
      <c r="BN14" s="42"/>
    </row>
    <row r="15" spans="1:72" s="30" customFormat="1" ht="18" customHeight="1">
      <c r="A15" s="519" t="s">
        <v>21</v>
      </c>
      <c r="B15" s="519"/>
      <c r="C15" s="496">
        <f>SUM(C18:C29)</f>
        <v>771800</v>
      </c>
      <c r="D15" s="496">
        <f>SUM(D18:D29)</f>
        <v>0</v>
      </c>
      <c r="E15" s="498">
        <f>C15+D15</f>
        <v>771800</v>
      </c>
      <c r="F15" s="498">
        <f>SUM(F18:F29)</f>
        <v>2622270.0000000005</v>
      </c>
      <c r="G15" s="498">
        <f>SUM(G18:G29)</f>
        <v>0</v>
      </c>
      <c r="H15" s="498">
        <f>H24+H25+H26</f>
        <v>86620</v>
      </c>
      <c r="I15" s="498">
        <f>SUM(I18:I29)</f>
        <v>858420.00000000012</v>
      </c>
      <c r="J15" s="498">
        <f>SUM(J18:J29)</f>
        <v>2622270.0000000005</v>
      </c>
      <c r="K15" s="520">
        <f>SUM(K18:M29)</f>
        <v>18830</v>
      </c>
      <c r="L15" s="521"/>
      <c r="M15" s="522"/>
      <c r="N15" s="498">
        <f>SUM(N18:N29)</f>
        <v>-20178.450000000012</v>
      </c>
      <c r="O15" s="498">
        <f>SUM(O18:O29)</f>
        <v>2602091.5500000003</v>
      </c>
      <c r="P15" s="496">
        <f>SUM(P18:P29)</f>
        <v>0</v>
      </c>
      <c r="Q15" s="496">
        <f>K15+P15</f>
        <v>18830</v>
      </c>
      <c r="R15" s="496">
        <f t="shared" ref="R15:V15" si="0">SUM(R18:R29)</f>
        <v>0</v>
      </c>
      <c r="S15" s="496">
        <f t="shared" si="0"/>
        <v>20178.45</v>
      </c>
      <c r="T15" s="496">
        <f t="shared" si="0"/>
        <v>50000</v>
      </c>
      <c r="U15" s="502">
        <f t="shared" si="0"/>
        <v>2652091.5500000003</v>
      </c>
      <c r="V15" s="496">
        <f t="shared" si="0"/>
        <v>-938</v>
      </c>
      <c r="W15" s="496">
        <f>SUM(W17:W29)</f>
        <v>0</v>
      </c>
      <c r="X15" s="496">
        <f>SUM(X17:X29)</f>
        <v>858420.00000000012</v>
      </c>
      <c r="Y15" s="496">
        <f t="shared" ref="Y15:AB15" si="1">SUM(Y17:Y29)</f>
        <v>2651153.5500000003</v>
      </c>
      <c r="Z15" s="496">
        <f t="shared" si="1"/>
        <v>0</v>
      </c>
      <c r="AA15" s="496">
        <f t="shared" si="1"/>
        <v>0</v>
      </c>
      <c r="AB15" s="498">
        <f t="shared" si="1"/>
        <v>858420.00000000012</v>
      </c>
      <c r="AC15" s="498">
        <f t="shared" ref="AC15:BM15" si="2">SUM(AC17:AC29)</f>
        <v>2651153.5500000003</v>
      </c>
      <c r="AD15" s="498">
        <f t="shared" si="2"/>
        <v>39008.449999999997</v>
      </c>
      <c r="AE15" s="498">
        <f t="shared" si="2"/>
        <v>235100</v>
      </c>
      <c r="AF15" s="498">
        <f t="shared" si="2"/>
        <v>235100</v>
      </c>
      <c r="AG15" s="498">
        <f t="shared" si="2"/>
        <v>0</v>
      </c>
      <c r="AH15" s="498">
        <f t="shared" si="2"/>
        <v>0</v>
      </c>
      <c r="AI15" s="498">
        <f t="shared" si="2"/>
        <v>0</v>
      </c>
      <c r="AJ15" s="498">
        <f t="shared" si="2"/>
        <v>-7900.5</v>
      </c>
      <c r="AK15" s="498">
        <f t="shared" si="2"/>
        <v>0</v>
      </c>
      <c r="AL15" s="498">
        <f t="shared" si="2"/>
        <v>858420</v>
      </c>
      <c r="AM15" s="496">
        <f t="shared" si="2"/>
        <v>2643253.0500000003</v>
      </c>
      <c r="AN15" s="496">
        <f t="shared" si="2"/>
        <v>39008.449999999997</v>
      </c>
      <c r="AO15" s="496">
        <f t="shared" si="2"/>
        <v>235100</v>
      </c>
      <c r="AP15" s="496">
        <f t="shared" si="2"/>
        <v>95400</v>
      </c>
      <c r="AQ15" s="496">
        <f t="shared" si="2"/>
        <v>0</v>
      </c>
      <c r="AR15" s="496">
        <f t="shared" si="2"/>
        <v>95400</v>
      </c>
      <c r="AS15" s="496">
        <f t="shared" si="2"/>
        <v>0</v>
      </c>
      <c r="AT15" s="496">
        <f t="shared" si="2"/>
        <v>0</v>
      </c>
      <c r="AU15" s="496">
        <f t="shared" si="2"/>
        <v>7900.5</v>
      </c>
      <c r="AV15" s="496">
        <f t="shared" si="2"/>
        <v>-5484.7400000000016</v>
      </c>
      <c r="AW15" s="496">
        <f t="shared" si="2"/>
        <v>2637768.31</v>
      </c>
      <c r="AX15" s="496">
        <f t="shared" si="2"/>
        <v>46908.95</v>
      </c>
      <c r="AY15" s="496">
        <f t="shared" si="2"/>
        <v>5484.74</v>
      </c>
      <c r="AZ15" s="496">
        <f t="shared" si="2"/>
        <v>52393.689999999995</v>
      </c>
      <c r="BA15" s="496">
        <f t="shared" si="2"/>
        <v>235100</v>
      </c>
      <c r="BB15" s="496">
        <f t="shared" si="2"/>
        <v>95400</v>
      </c>
      <c r="BC15" s="496">
        <f t="shared" si="2"/>
        <v>900000</v>
      </c>
      <c r="BD15" s="496">
        <f t="shared" si="2"/>
        <v>0</v>
      </c>
      <c r="BE15" s="496">
        <f t="shared" si="2"/>
        <v>0</v>
      </c>
      <c r="BF15" s="496">
        <f t="shared" si="2"/>
        <v>95400</v>
      </c>
      <c r="BG15" s="496">
        <f t="shared" si="2"/>
        <v>900000</v>
      </c>
      <c r="BH15" s="496">
        <f t="shared" si="2"/>
        <v>0</v>
      </c>
      <c r="BI15" s="496">
        <f t="shared" si="2"/>
        <v>0</v>
      </c>
      <c r="BJ15" s="496">
        <f t="shared" si="2"/>
        <v>95400.000000000015</v>
      </c>
      <c r="BK15" s="496">
        <f t="shared" si="2"/>
        <v>900000</v>
      </c>
      <c r="BL15" s="496">
        <f t="shared" si="2"/>
        <v>0</v>
      </c>
      <c r="BM15" s="496">
        <f t="shared" si="2"/>
        <v>900000</v>
      </c>
      <c r="BN15" s="496">
        <f>SUM(BN18:BN29)</f>
        <v>4779081.9999999991</v>
      </c>
      <c r="BO15" s="29"/>
      <c r="BQ15" s="31"/>
      <c r="BR15" s="32"/>
      <c r="BS15" s="33"/>
      <c r="BT15" s="31"/>
    </row>
    <row r="16" spans="1:72" s="30" customFormat="1" ht="11.25" customHeight="1">
      <c r="A16" s="519"/>
      <c r="B16" s="519"/>
      <c r="C16" s="497"/>
      <c r="D16" s="497"/>
      <c r="E16" s="500"/>
      <c r="F16" s="500"/>
      <c r="G16" s="500"/>
      <c r="H16" s="500"/>
      <c r="I16" s="500"/>
      <c r="J16" s="500"/>
      <c r="K16" s="523"/>
      <c r="L16" s="524"/>
      <c r="M16" s="525"/>
      <c r="N16" s="500"/>
      <c r="O16" s="500"/>
      <c r="P16" s="497"/>
      <c r="Q16" s="497"/>
      <c r="R16" s="497"/>
      <c r="S16" s="497"/>
      <c r="T16" s="497"/>
      <c r="U16" s="502"/>
      <c r="V16" s="497"/>
      <c r="W16" s="511"/>
      <c r="X16" s="511"/>
      <c r="Y16" s="511"/>
      <c r="Z16" s="511"/>
      <c r="AA16" s="511"/>
      <c r="AB16" s="499"/>
      <c r="AC16" s="499"/>
      <c r="AD16" s="499"/>
      <c r="AE16" s="499"/>
      <c r="AF16" s="499"/>
      <c r="AG16" s="499"/>
      <c r="AH16" s="499"/>
      <c r="AI16" s="499"/>
      <c r="AJ16" s="499"/>
      <c r="AK16" s="499"/>
      <c r="AL16" s="499"/>
      <c r="AM16" s="511"/>
      <c r="AN16" s="511"/>
      <c r="AO16" s="511"/>
      <c r="AP16" s="511"/>
      <c r="AQ16" s="511"/>
      <c r="AR16" s="511"/>
      <c r="AS16" s="511"/>
      <c r="AT16" s="511"/>
      <c r="AU16" s="511"/>
      <c r="AV16" s="511"/>
      <c r="AW16" s="511"/>
      <c r="AX16" s="511"/>
      <c r="AY16" s="511"/>
      <c r="AZ16" s="511"/>
      <c r="BA16" s="511"/>
      <c r="BB16" s="511"/>
      <c r="BC16" s="511"/>
      <c r="BD16" s="511"/>
      <c r="BE16" s="511"/>
      <c r="BF16" s="511"/>
      <c r="BG16" s="511"/>
      <c r="BH16" s="511"/>
      <c r="BI16" s="511"/>
      <c r="BJ16" s="511"/>
      <c r="BK16" s="511"/>
      <c r="BL16" s="511"/>
      <c r="BM16" s="511"/>
      <c r="BN16" s="511"/>
      <c r="BQ16" s="31"/>
      <c r="BR16" s="31"/>
      <c r="BS16" s="31"/>
      <c r="BT16" s="31"/>
    </row>
    <row r="17" spans="1:72" ht="19.5" customHeight="1">
      <c r="A17" s="504" t="s">
        <v>22</v>
      </c>
      <c r="B17" s="504"/>
      <c r="C17" s="60"/>
      <c r="D17" s="60"/>
      <c r="E17" s="60"/>
      <c r="F17" s="60"/>
      <c r="G17" s="60"/>
      <c r="H17" s="60"/>
      <c r="I17" s="60"/>
      <c r="J17" s="60"/>
      <c r="K17" s="516"/>
      <c r="L17" s="517"/>
      <c r="M17" s="518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71"/>
      <c r="Y17" s="71"/>
      <c r="Z17" s="71"/>
      <c r="AA17" s="71"/>
      <c r="AB17" s="72"/>
      <c r="AC17" s="68"/>
      <c r="AD17" s="72"/>
      <c r="AE17" s="72"/>
      <c r="AF17" s="72"/>
      <c r="AG17" s="72"/>
      <c r="AH17" s="73"/>
      <c r="AI17" s="73"/>
      <c r="AJ17" s="73"/>
      <c r="AK17" s="73"/>
      <c r="AL17" s="73"/>
      <c r="AM17" s="74"/>
      <c r="AN17" s="73"/>
      <c r="AO17" s="73"/>
      <c r="AP17" s="73"/>
      <c r="AQ17" s="72"/>
      <c r="AR17" s="72"/>
      <c r="AS17" s="72"/>
      <c r="AT17" s="72"/>
      <c r="AU17" s="80"/>
      <c r="AV17" s="80"/>
      <c r="AW17" s="80"/>
      <c r="AX17" s="80"/>
      <c r="AY17" s="80"/>
      <c r="AZ17" s="80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81"/>
      <c r="BQ17" s="12"/>
      <c r="BR17" s="12"/>
      <c r="BS17" s="12"/>
      <c r="BT17" s="12"/>
    </row>
    <row r="18" spans="1:72" ht="12.75">
      <c r="A18" s="505" t="s">
        <v>23</v>
      </c>
      <c r="B18" s="507"/>
      <c r="C18" s="8"/>
      <c r="D18" s="8"/>
      <c r="E18" s="8"/>
      <c r="F18" s="8">
        <v>33343.99</v>
      </c>
      <c r="G18" s="9"/>
      <c r="H18" s="10"/>
      <c r="I18" s="10"/>
      <c r="J18" s="10">
        <f>F18+G18</f>
        <v>33343.99</v>
      </c>
      <c r="K18" s="512"/>
      <c r="L18" s="513"/>
      <c r="M18" s="514"/>
      <c r="N18" s="24"/>
      <c r="O18" s="34">
        <f t="shared" ref="O18:O29" si="3">J18+N18</f>
        <v>33343.99</v>
      </c>
      <c r="P18" s="34"/>
      <c r="Q18" s="34"/>
      <c r="R18" s="35"/>
      <c r="S18" s="35"/>
      <c r="T18" s="35"/>
      <c r="U18" s="34">
        <f>O18+T18</f>
        <v>33343.99</v>
      </c>
      <c r="V18" s="34"/>
      <c r="W18" s="34"/>
      <c r="X18" s="75"/>
      <c r="Y18" s="65">
        <f>U18+V18</f>
        <v>33343.99</v>
      </c>
      <c r="Z18" s="66"/>
      <c r="AA18" s="66"/>
      <c r="AB18" s="66"/>
      <c r="AC18" s="69">
        <v>33343.99</v>
      </c>
      <c r="AD18" s="66"/>
      <c r="AE18" s="66"/>
      <c r="AF18" s="66">
        <f>R18+AE18</f>
        <v>0</v>
      </c>
      <c r="AG18" s="66"/>
      <c r="AH18" s="65"/>
      <c r="AI18" s="65"/>
      <c r="AJ18" s="65"/>
      <c r="AK18" s="65"/>
      <c r="AL18" s="65"/>
      <c r="AM18" s="70">
        <f>AC18+AJ18</f>
        <v>33343.99</v>
      </c>
      <c r="AN18" s="65"/>
      <c r="AO18" s="65"/>
      <c r="AP18" s="82">
        <v>4293</v>
      </c>
      <c r="AQ18" s="65"/>
      <c r="AR18" s="65">
        <f>AP18+AQ18</f>
        <v>4293</v>
      </c>
      <c r="AS18" s="65"/>
      <c r="AT18" s="65"/>
      <c r="AU18" s="65"/>
      <c r="AV18" s="65"/>
      <c r="AW18" s="65">
        <f>AM18+AV18</f>
        <v>33343.99</v>
      </c>
      <c r="AX18" s="65"/>
      <c r="AY18" s="65"/>
      <c r="AZ18" s="65"/>
      <c r="BA18" s="65"/>
      <c r="BB18" s="65">
        <f>AR18+AS18</f>
        <v>4293</v>
      </c>
      <c r="BC18" s="65"/>
      <c r="BD18" s="65"/>
      <c r="BE18" s="65"/>
      <c r="BF18" s="65">
        <f>BB18+BE18</f>
        <v>4293</v>
      </c>
      <c r="BG18" s="65"/>
      <c r="BH18" s="65"/>
      <c r="BI18" s="65"/>
      <c r="BJ18" s="65">
        <f>BF18+BI18</f>
        <v>4293</v>
      </c>
      <c r="BK18" s="65"/>
      <c r="BL18" s="65"/>
      <c r="BM18" s="65"/>
      <c r="BN18" s="81">
        <f>AL18+AW18+AZ18+BA18+BJ18+BM18</f>
        <v>37636.99</v>
      </c>
      <c r="BP18" s="20"/>
    </row>
    <row r="19" spans="1:72" ht="12.75">
      <c r="A19" s="505" t="s">
        <v>24</v>
      </c>
      <c r="B19" s="507"/>
      <c r="C19" s="11"/>
      <c r="D19" s="11"/>
      <c r="E19" s="8"/>
      <c r="F19" s="11">
        <v>103387.03</v>
      </c>
      <c r="G19" s="9"/>
      <c r="H19" s="10"/>
      <c r="I19" s="10"/>
      <c r="J19" s="10">
        <f t="shared" ref="J19:J29" si="4">F19+G19</f>
        <v>103387.03</v>
      </c>
      <c r="K19" s="512"/>
      <c r="L19" s="513"/>
      <c r="M19" s="514"/>
      <c r="N19" s="24"/>
      <c r="O19" s="34">
        <f t="shared" si="3"/>
        <v>103387.03</v>
      </c>
      <c r="P19" s="57"/>
      <c r="Q19" s="34"/>
      <c r="R19" s="35"/>
      <c r="S19" s="35"/>
      <c r="T19" s="35"/>
      <c r="U19" s="34">
        <f t="shared" ref="U19:U30" si="5">O19+T19</f>
        <v>103387.03</v>
      </c>
      <c r="V19" s="34"/>
      <c r="W19" s="34"/>
      <c r="X19" s="75"/>
      <c r="Y19" s="65">
        <f t="shared" ref="Y19:Y29" si="6">U19+V19</f>
        <v>103387.03</v>
      </c>
      <c r="Z19" s="66"/>
      <c r="AA19" s="66"/>
      <c r="AB19" s="66"/>
      <c r="AC19" s="69">
        <v>103387.03</v>
      </c>
      <c r="AD19" s="66"/>
      <c r="AE19" s="66"/>
      <c r="AF19" s="66">
        <f t="shared" ref="AF19:AF29" si="7">R19+AE19</f>
        <v>0</v>
      </c>
      <c r="AG19" s="66"/>
      <c r="AH19" s="65"/>
      <c r="AI19" s="65"/>
      <c r="AJ19" s="65"/>
      <c r="AK19" s="65"/>
      <c r="AL19" s="65"/>
      <c r="AM19" s="70">
        <f t="shared" ref="AM19:AM29" si="8">AC19+AJ19</f>
        <v>103387.03</v>
      </c>
      <c r="AN19" s="65"/>
      <c r="AO19" s="65"/>
      <c r="AP19" s="82">
        <v>7632</v>
      </c>
      <c r="AQ19" s="65"/>
      <c r="AR19" s="65">
        <f t="shared" ref="AR19:AR29" si="9">AP19+AQ19</f>
        <v>7632</v>
      </c>
      <c r="AS19" s="65"/>
      <c r="AT19" s="65"/>
      <c r="AU19" s="65"/>
      <c r="AV19" s="65"/>
      <c r="AW19" s="65">
        <f t="shared" ref="AW19:AW30" si="10">AM19+AV19</f>
        <v>103387.03</v>
      </c>
      <c r="AX19" s="65"/>
      <c r="AY19" s="65"/>
      <c r="AZ19" s="65"/>
      <c r="BA19" s="65"/>
      <c r="BB19" s="65">
        <f t="shared" ref="BB19:BB28" si="11">AR19+AS19</f>
        <v>7632</v>
      </c>
      <c r="BC19" s="65"/>
      <c r="BD19" s="65"/>
      <c r="BE19" s="65"/>
      <c r="BF19" s="65">
        <f t="shared" ref="BF19:BF29" si="12">BB19+BE19</f>
        <v>7632</v>
      </c>
      <c r="BG19" s="65"/>
      <c r="BH19" s="65"/>
      <c r="BI19" s="65"/>
      <c r="BJ19" s="65">
        <f t="shared" ref="BJ19:BJ29" si="13">BF19+BI19</f>
        <v>7632</v>
      </c>
      <c r="BK19" s="65"/>
      <c r="BL19" s="65"/>
      <c r="BM19" s="65"/>
      <c r="BN19" s="81">
        <f t="shared" ref="BN19:BN29" si="14">AL19+AW19+AZ19+BA19+BJ19+BM19</f>
        <v>111019.03</v>
      </c>
      <c r="BO19" s="12"/>
      <c r="BP19" s="20"/>
    </row>
    <row r="20" spans="1:72" ht="12.75">
      <c r="A20" s="505" t="s">
        <v>25</v>
      </c>
      <c r="B20" s="507"/>
      <c r="C20" s="8"/>
      <c r="D20" s="8"/>
      <c r="E20" s="8"/>
      <c r="F20" s="8">
        <v>171794.48</v>
      </c>
      <c r="G20" s="9"/>
      <c r="H20" s="10"/>
      <c r="I20" s="10"/>
      <c r="J20" s="10">
        <f t="shared" si="4"/>
        <v>171794.48</v>
      </c>
      <c r="K20" s="512"/>
      <c r="L20" s="513"/>
      <c r="M20" s="514"/>
      <c r="N20" s="24"/>
      <c r="O20" s="34">
        <f t="shared" si="3"/>
        <v>171794.48</v>
      </c>
      <c r="P20" s="36"/>
      <c r="Q20" s="34"/>
      <c r="R20" s="35"/>
      <c r="S20" s="35"/>
      <c r="T20" s="35"/>
      <c r="U20" s="34">
        <f t="shared" si="5"/>
        <v>171794.48</v>
      </c>
      <c r="V20" s="34"/>
      <c r="W20" s="34"/>
      <c r="X20" s="75"/>
      <c r="Y20" s="65">
        <f t="shared" si="6"/>
        <v>171794.48</v>
      </c>
      <c r="Z20" s="66"/>
      <c r="AA20" s="66"/>
      <c r="AB20" s="66"/>
      <c r="AC20" s="69">
        <v>171794.48</v>
      </c>
      <c r="AD20" s="66"/>
      <c r="AE20" s="66"/>
      <c r="AF20" s="66">
        <f t="shared" si="7"/>
        <v>0</v>
      </c>
      <c r="AG20" s="66"/>
      <c r="AH20" s="65"/>
      <c r="AI20" s="65"/>
      <c r="AJ20" s="65"/>
      <c r="AK20" s="65"/>
      <c r="AL20" s="65"/>
      <c r="AM20" s="70">
        <f t="shared" si="8"/>
        <v>171794.48</v>
      </c>
      <c r="AN20" s="65"/>
      <c r="AO20" s="65"/>
      <c r="AP20" s="82">
        <v>7632</v>
      </c>
      <c r="AQ20" s="65"/>
      <c r="AR20" s="65">
        <f t="shared" si="9"/>
        <v>7632</v>
      </c>
      <c r="AS20" s="65"/>
      <c r="AT20" s="65"/>
      <c r="AU20" s="65"/>
      <c r="AV20" s="65"/>
      <c r="AW20" s="65">
        <f t="shared" si="10"/>
        <v>171794.48</v>
      </c>
      <c r="AX20" s="65"/>
      <c r="AY20" s="65"/>
      <c r="AZ20" s="65"/>
      <c r="BA20" s="65"/>
      <c r="BB20" s="65">
        <f t="shared" si="11"/>
        <v>7632</v>
      </c>
      <c r="BC20" s="65"/>
      <c r="BD20" s="65"/>
      <c r="BE20" s="65"/>
      <c r="BF20" s="65">
        <f t="shared" si="12"/>
        <v>7632</v>
      </c>
      <c r="BG20" s="65"/>
      <c r="BH20" s="65"/>
      <c r="BI20" s="65"/>
      <c r="BJ20" s="65">
        <f t="shared" si="13"/>
        <v>7632</v>
      </c>
      <c r="BK20" s="65"/>
      <c r="BL20" s="65"/>
      <c r="BM20" s="65"/>
      <c r="BN20" s="81">
        <f t="shared" si="14"/>
        <v>179426.48</v>
      </c>
      <c r="BO20" s="12"/>
      <c r="BP20" s="20"/>
    </row>
    <row r="21" spans="1:72" ht="12.75">
      <c r="A21" s="505" t="s">
        <v>26</v>
      </c>
      <c r="B21" s="507"/>
      <c r="C21" s="11"/>
      <c r="D21" s="11"/>
      <c r="E21" s="8"/>
      <c r="F21" s="11">
        <v>392850.56</v>
      </c>
      <c r="G21" s="9"/>
      <c r="H21" s="10"/>
      <c r="I21" s="10"/>
      <c r="J21" s="10">
        <f t="shared" si="4"/>
        <v>392850.56</v>
      </c>
      <c r="K21" s="512"/>
      <c r="L21" s="513"/>
      <c r="M21" s="514"/>
      <c r="N21" s="24"/>
      <c r="O21" s="34">
        <f t="shared" si="3"/>
        <v>392850.56</v>
      </c>
      <c r="P21" s="37"/>
      <c r="Q21" s="34"/>
      <c r="R21" s="35"/>
      <c r="S21" s="35"/>
      <c r="T21" s="35"/>
      <c r="U21" s="34">
        <f t="shared" si="5"/>
        <v>392850.56</v>
      </c>
      <c r="V21" s="34"/>
      <c r="W21" s="34"/>
      <c r="X21" s="75"/>
      <c r="Y21" s="65">
        <f t="shared" si="6"/>
        <v>392850.56</v>
      </c>
      <c r="Z21" s="66"/>
      <c r="AA21" s="66"/>
      <c r="AB21" s="66"/>
      <c r="AC21" s="69">
        <v>392850.56</v>
      </c>
      <c r="AD21" s="66"/>
      <c r="AE21" s="66"/>
      <c r="AF21" s="66">
        <f t="shared" si="7"/>
        <v>0</v>
      </c>
      <c r="AG21" s="66"/>
      <c r="AH21" s="65"/>
      <c r="AI21" s="65"/>
      <c r="AJ21" s="65"/>
      <c r="AK21" s="65"/>
      <c r="AL21" s="65"/>
      <c r="AM21" s="70">
        <f t="shared" si="8"/>
        <v>392850.56</v>
      </c>
      <c r="AN21" s="65"/>
      <c r="AO21" s="65"/>
      <c r="AP21" s="82">
        <v>7918.2</v>
      </c>
      <c r="AQ21" s="65"/>
      <c r="AR21" s="65">
        <f t="shared" si="9"/>
        <v>7918.2</v>
      </c>
      <c r="AS21" s="65"/>
      <c r="AT21" s="65"/>
      <c r="AU21" s="65"/>
      <c r="AV21" s="65"/>
      <c r="AW21" s="65">
        <f t="shared" si="10"/>
        <v>392850.56</v>
      </c>
      <c r="AX21" s="65"/>
      <c r="AY21" s="65"/>
      <c r="AZ21" s="65"/>
      <c r="BA21" s="65"/>
      <c r="BB21" s="65">
        <f t="shared" si="11"/>
        <v>7918.2</v>
      </c>
      <c r="BC21" s="65"/>
      <c r="BD21" s="65"/>
      <c r="BE21" s="65"/>
      <c r="BF21" s="65">
        <f t="shared" si="12"/>
        <v>7918.2</v>
      </c>
      <c r="BG21" s="65"/>
      <c r="BH21" s="65"/>
      <c r="BI21" s="65"/>
      <c r="BJ21" s="65">
        <f t="shared" si="13"/>
        <v>7918.2</v>
      </c>
      <c r="BK21" s="65"/>
      <c r="BL21" s="65"/>
      <c r="BM21" s="65"/>
      <c r="BN21" s="81">
        <f t="shared" si="14"/>
        <v>400768.76</v>
      </c>
      <c r="BP21" s="20"/>
    </row>
    <row r="22" spans="1:72" ht="12.75">
      <c r="A22" s="505" t="s">
        <v>27</v>
      </c>
      <c r="B22" s="507"/>
      <c r="C22" s="11"/>
      <c r="D22" s="11"/>
      <c r="E22" s="8"/>
      <c r="F22" s="11">
        <v>61080.88</v>
      </c>
      <c r="G22" s="9"/>
      <c r="H22" s="10"/>
      <c r="I22" s="10"/>
      <c r="J22" s="10">
        <f t="shared" si="4"/>
        <v>61080.88</v>
      </c>
      <c r="K22" s="512"/>
      <c r="L22" s="513"/>
      <c r="M22" s="514"/>
      <c r="N22" s="24"/>
      <c r="O22" s="34">
        <f t="shared" si="3"/>
        <v>61080.88</v>
      </c>
      <c r="P22" s="37"/>
      <c r="Q22" s="34"/>
      <c r="R22" s="35"/>
      <c r="S22" s="35"/>
      <c r="T22" s="35"/>
      <c r="U22" s="34">
        <f t="shared" si="5"/>
        <v>61080.88</v>
      </c>
      <c r="V22" s="34"/>
      <c r="W22" s="34"/>
      <c r="X22" s="75"/>
      <c r="Y22" s="65">
        <f t="shared" si="6"/>
        <v>61080.88</v>
      </c>
      <c r="Z22" s="66"/>
      <c r="AA22" s="66"/>
      <c r="AB22" s="66"/>
      <c r="AC22" s="69">
        <v>61080.88</v>
      </c>
      <c r="AD22" s="66"/>
      <c r="AE22" s="66"/>
      <c r="AF22" s="66">
        <f t="shared" si="7"/>
        <v>0</v>
      </c>
      <c r="AG22" s="66"/>
      <c r="AH22" s="65"/>
      <c r="AI22" s="65"/>
      <c r="AJ22" s="65"/>
      <c r="AK22" s="65"/>
      <c r="AL22" s="65"/>
      <c r="AM22" s="70">
        <f t="shared" si="8"/>
        <v>61080.88</v>
      </c>
      <c r="AN22" s="65"/>
      <c r="AO22" s="65"/>
      <c r="AP22" s="82">
        <v>9826.2000000000007</v>
      </c>
      <c r="AQ22" s="65"/>
      <c r="AR22" s="65">
        <f t="shared" si="9"/>
        <v>9826.2000000000007</v>
      </c>
      <c r="AS22" s="65"/>
      <c r="AT22" s="65"/>
      <c r="AU22" s="65"/>
      <c r="AV22" s="65"/>
      <c r="AW22" s="65">
        <f t="shared" si="10"/>
        <v>61080.88</v>
      </c>
      <c r="AX22" s="65"/>
      <c r="AY22" s="65"/>
      <c r="AZ22" s="65"/>
      <c r="BA22" s="65"/>
      <c r="BB22" s="65">
        <f t="shared" si="11"/>
        <v>9826.2000000000007</v>
      </c>
      <c r="BC22" s="65"/>
      <c r="BD22" s="65"/>
      <c r="BE22" s="65"/>
      <c r="BF22" s="65">
        <f t="shared" si="12"/>
        <v>9826.2000000000007</v>
      </c>
      <c r="BG22" s="65"/>
      <c r="BH22" s="65"/>
      <c r="BI22" s="65"/>
      <c r="BJ22" s="65">
        <f t="shared" si="13"/>
        <v>9826.2000000000007</v>
      </c>
      <c r="BK22" s="65"/>
      <c r="BL22" s="65"/>
      <c r="BM22" s="65"/>
      <c r="BN22" s="81">
        <f t="shared" si="14"/>
        <v>70907.08</v>
      </c>
      <c r="BP22" s="20"/>
    </row>
    <row r="23" spans="1:72" ht="12.75">
      <c r="A23" s="505" t="s">
        <v>28</v>
      </c>
      <c r="B23" s="507"/>
      <c r="C23" s="11">
        <v>771800</v>
      </c>
      <c r="D23" s="11">
        <v>-771800</v>
      </c>
      <c r="E23" s="8"/>
      <c r="F23" s="11">
        <v>466110.06</v>
      </c>
      <c r="G23" s="9">
        <v>-244904.54</v>
      </c>
      <c r="H23" s="10"/>
      <c r="I23" s="10"/>
      <c r="J23" s="10">
        <f t="shared" si="4"/>
        <v>221205.52</v>
      </c>
      <c r="K23" s="512">
        <v>18830</v>
      </c>
      <c r="L23" s="513"/>
      <c r="M23" s="514"/>
      <c r="N23" s="24"/>
      <c r="O23" s="34">
        <f t="shared" si="3"/>
        <v>221205.52</v>
      </c>
      <c r="P23" s="37">
        <v>-1512.38</v>
      </c>
      <c r="Q23" s="34">
        <v>17317.62</v>
      </c>
      <c r="R23" s="35">
        <v>-92400</v>
      </c>
      <c r="S23" s="35"/>
      <c r="T23" s="35"/>
      <c r="U23" s="34">
        <f t="shared" si="5"/>
        <v>221205.52</v>
      </c>
      <c r="V23" s="34"/>
      <c r="W23" s="34"/>
      <c r="X23" s="75"/>
      <c r="Y23" s="65">
        <f t="shared" si="6"/>
        <v>221205.52</v>
      </c>
      <c r="Z23" s="66"/>
      <c r="AA23" s="66"/>
      <c r="AB23" s="66"/>
      <c r="AC23" s="69">
        <v>221205.52</v>
      </c>
      <c r="AD23" s="66">
        <f>Q23+S23</f>
        <v>17317.62</v>
      </c>
      <c r="AE23" s="66">
        <v>0</v>
      </c>
      <c r="AF23" s="66">
        <f t="shared" si="7"/>
        <v>-92400</v>
      </c>
      <c r="AG23" s="66">
        <v>-2444.6</v>
      </c>
      <c r="AH23" s="65"/>
      <c r="AI23" s="65"/>
      <c r="AJ23" s="65"/>
      <c r="AK23" s="65"/>
      <c r="AL23" s="65"/>
      <c r="AM23" s="70">
        <f t="shared" si="8"/>
        <v>221205.52</v>
      </c>
      <c r="AN23" s="65">
        <f>AD23+AI23</f>
        <v>17317.62</v>
      </c>
      <c r="AO23" s="65"/>
      <c r="AP23" s="82">
        <v>7000</v>
      </c>
      <c r="AQ23" s="65"/>
      <c r="AR23" s="65">
        <f t="shared" si="9"/>
        <v>7000</v>
      </c>
      <c r="AS23" s="65"/>
      <c r="AT23" s="65"/>
      <c r="AU23" s="65"/>
      <c r="AV23" s="65"/>
      <c r="AW23" s="65">
        <f t="shared" si="10"/>
        <v>221205.52</v>
      </c>
      <c r="AX23" s="65">
        <f>AN23+AU23</f>
        <v>17317.62</v>
      </c>
      <c r="AY23" s="65"/>
      <c r="AZ23" s="65">
        <f>AX23+AY23</f>
        <v>17317.62</v>
      </c>
      <c r="BA23" s="65"/>
      <c r="BB23" s="65">
        <f t="shared" si="11"/>
        <v>7000</v>
      </c>
      <c r="BC23" s="65"/>
      <c r="BD23" s="65"/>
      <c r="BE23" s="65"/>
      <c r="BF23" s="65">
        <f t="shared" si="12"/>
        <v>7000</v>
      </c>
      <c r="BG23" s="65"/>
      <c r="BH23" s="65"/>
      <c r="BI23" s="65"/>
      <c r="BJ23" s="65">
        <f t="shared" si="13"/>
        <v>7000</v>
      </c>
      <c r="BK23" s="65"/>
      <c r="BL23" s="65"/>
      <c r="BM23" s="65"/>
      <c r="BN23" s="81">
        <f t="shared" si="14"/>
        <v>245523.13999999998</v>
      </c>
      <c r="BP23" s="20"/>
    </row>
    <row r="24" spans="1:72" ht="12.75">
      <c r="A24" s="505" t="s">
        <v>29</v>
      </c>
      <c r="B24" s="507"/>
      <c r="C24" s="11"/>
      <c r="D24" s="11">
        <v>771800</v>
      </c>
      <c r="E24" s="8">
        <v>688540.9</v>
      </c>
      <c r="F24" s="11">
        <v>181826.6</v>
      </c>
      <c r="G24" s="9">
        <v>244904.54</v>
      </c>
      <c r="H24" s="10">
        <v>-501790.9</v>
      </c>
      <c r="I24" s="10">
        <f>E24+H24</f>
        <v>186750</v>
      </c>
      <c r="J24" s="10">
        <f t="shared" si="4"/>
        <v>426731.14</v>
      </c>
      <c r="K24" s="512"/>
      <c r="L24" s="513"/>
      <c r="M24" s="514"/>
      <c r="N24" s="24">
        <v>-198892.49</v>
      </c>
      <c r="O24" s="34">
        <f t="shared" si="3"/>
        <v>227838.65000000002</v>
      </c>
      <c r="P24" s="37">
        <v>1512.38</v>
      </c>
      <c r="Q24" s="34">
        <v>1512.38</v>
      </c>
      <c r="R24" s="35">
        <v>92400</v>
      </c>
      <c r="S24" s="35">
        <v>-1512.38</v>
      </c>
      <c r="T24" s="35"/>
      <c r="U24" s="34">
        <f t="shared" si="5"/>
        <v>227838.65000000002</v>
      </c>
      <c r="V24" s="34"/>
      <c r="W24" s="34"/>
      <c r="X24" s="75">
        <v>186750</v>
      </c>
      <c r="Y24" s="65">
        <f t="shared" si="6"/>
        <v>227838.65000000002</v>
      </c>
      <c r="Z24" s="66"/>
      <c r="AA24" s="66"/>
      <c r="AB24" s="66">
        <f>X24+AA24</f>
        <v>186750</v>
      </c>
      <c r="AC24" s="69">
        <v>227838.65</v>
      </c>
      <c r="AD24" s="66">
        <f t="shared" ref="AD24:AD29" si="15">Q24+S24</f>
        <v>0</v>
      </c>
      <c r="AE24" s="66">
        <v>115500</v>
      </c>
      <c r="AF24" s="66">
        <f t="shared" si="7"/>
        <v>207900</v>
      </c>
      <c r="AG24" s="66">
        <v>2444.6</v>
      </c>
      <c r="AH24" s="65">
        <v>-115500</v>
      </c>
      <c r="AI24" s="65"/>
      <c r="AJ24" s="65"/>
      <c r="AK24" s="65"/>
      <c r="AL24" s="65">
        <f>AB24+AK24</f>
        <v>186750</v>
      </c>
      <c r="AM24" s="70">
        <f t="shared" si="8"/>
        <v>227838.65</v>
      </c>
      <c r="AN24" s="65">
        <f t="shared" ref="AN24:AN29" si="16">AD24+AI24</f>
        <v>0</v>
      </c>
      <c r="AO24" s="65">
        <f>AE24+AH24</f>
        <v>0</v>
      </c>
      <c r="AP24" s="82">
        <v>8741</v>
      </c>
      <c r="AQ24" s="65">
        <v>-1741</v>
      </c>
      <c r="AR24" s="65">
        <f t="shared" si="9"/>
        <v>7000</v>
      </c>
      <c r="AS24" s="65"/>
      <c r="AT24" s="65"/>
      <c r="AU24" s="65"/>
      <c r="AV24" s="65"/>
      <c r="AW24" s="65">
        <f t="shared" si="10"/>
        <v>227838.65</v>
      </c>
      <c r="AX24" s="65">
        <f t="shared" ref="AX24:AX29" si="17">AN24+AU24</f>
        <v>0</v>
      </c>
      <c r="AY24" s="65"/>
      <c r="AZ24" s="65">
        <f t="shared" ref="AZ24:AZ29" si="18">AX24+AY24</f>
        <v>0</v>
      </c>
      <c r="BA24" s="65">
        <f>AO24+AT24</f>
        <v>0</v>
      </c>
      <c r="BB24" s="65">
        <f t="shared" si="11"/>
        <v>7000</v>
      </c>
      <c r="BC24" s="65">
        <v>508732.82</v>
      </c>
      <c r="BD24" s="65"/>
      <c r="BE24" s="65"/>
      <c r="BF24" s="65">
        <f t="shared" si="12"/>
        <v>7000</v>
      </c>
      <c r="BG24" s="65">
        <f>BC24+BD24</f>
        <v>508732.82</v>
      </c>
      <c r="BH24" s="65"/>
      <c r="BI24" s="65"/>
      <c r="BJ24" s="65">
        <f t="shared" si="13"/>
        <v>7000</v>
      </c>
      <c r="BK24" s="65">
        <f>BG24+BH24</f>
        <v>508732.82</v>
      </c>
      <c r="BL24" s="65"/>
      <c r="BM24" s="65">
        <f>BK24+BL24</f>
        <v>508732.82</v>
      </c>
      <c r="BN24" s="81">
        <f t="shared" si="14"/>
        <v>930321.47</v>
      </c>
      <c r="BP24" s="20"/>
    </row>
    <row r="25" spans="1:72" ht="12.75">
      <c r="A25" s="505" t="s">
        <v>39</v>
      </c>
      <c r="B25" s="507"/>
      <c r="C25" s="11"/>
      <c r="D25" s="11"/>
      <c r="E25" s="8">
        <v>10399.65</v>
      </c>
      <c r="F25" s="11">
        <v>157699.1</v>
      </c>
      <c r="G25" s="9"/>
      <c r="H25" s="10">
        <v>489790.9</v>
      </c>
      <c r="I25" s="10">
        <f t="shared" ref="I25:I29" si="19">E25+H25</f>
        <v>500190.55000000005</v>
      </c>
      <c r="J25" s="10">
        <f t="shared" si="4"/>
        <v>157699.1</v>
      </c>
      <c r="K25" s="512"/>
      <c r="L25" s="513"/>
      <c r="M25" s="514"/>
      <c r="N25" s="24">
        <v>-20178.45</v>
      </c>
      <c r="O25" s="34">
        <f t="shared" si="3"/>
        <v>137520.65</v>
      </c>
      <c r="P25" s="37"/>
      <c r="Q25" s="34"/>
      <c r="R25" s="35"/>
      <c r="S25" s="35">
        <f>1512.38+12178.45</f>
        <v>13690.830000000002</v>
      </c>
      <c r="T25" s="35">
        <v>50000</v>
      </c>
      <c r="U25" s="34">
        <f t="shared" si="5"/>
        <v>187520.65</v>
      </c>
      <c r="V25" s="34"/>
      <c r="W25" s="34">
        <v>-431390.55</v>
      </c>
      <c r="X25" s="75">
        <v>68800</v>
      </c>
      <c r="Y25" s="65">
        <f>U25+V25</f>
        <v>187520.65</v>
      </c>
      <c r="Z25" s="66">
        <v>-7699.26</v>
      </c>
      <c r="AA25" s="66"/>
      <c r="AB25" s="66">
        <f t="shared" ref="AB25:AB29" si="20">X25+AA25</f>
        <v>68800</v>
      </c>
      <c r="AC25" s="69">
        <v>179821.39</v>
      </c>
      <c r="AD25" s="66">
        <f t="shared" si="15"/>
        <v>13690.830000000002</v>
      </c>
      <c r="AE25" s="66">
        <v>23100</v>
      </c>
      <c r="AF25" s="66">
        <f t="shared" si="7"/>
        <v>23100</v>
      </c>
      <c r="AG25" s="66"/>
      <c r="AH25" s="65"/>
      <c r="AI25" s="65">
        <v>-1512.38</v>
      </c>
      <c r="AJ25" s="65"/>
      <c r="AK25" s="65"/>
      <c r="AL25" s="65">
        <f t="shared" ref="AL25:AL29" si="21">AB25+AK25</f>
        <v>68800</v>
      </c>
      <c r="AM25" s="70">
        <v>178996.89</v>
      </c>
      <c r="AN25" s="65">
        <f t="shared" si="16"/>
        <v>12178.45</v>
      </c>
      <c r="AO25" s="65">
        <f t="shared" ref="AO25:AO29" si="22">AE25+AH25</f>
        <v>23100</v>
      </c>
      <c r="AP25" s="82">
        <v>3911.4</v>
      </c>
      <c r="AQ25" s="65">
        <v>1741</v>
      </c>
      <c r="AR25" s="65">
        <f t="shared" si="9"/>
        <v>5652.4</v>
      </c>
      <c r="AS25" s="65">
        <v>6747.6</v>
      </c>
      <c r="AT25" s="65">
        <v>-23100</v>
      </c>
      <c r="AU25" s="65"/>
      <c r="AV25" s="65"/>
      <c r="AW25" s="65">
        <f t="shared" si="10"/>
        <v>178996.89</v>
      </c>
      <c r="AX25" s="65">
        <f t="shared" si="17"/>
        <v>12178.45</v>
      </c>
      <c r="AY25" s="65"/>
      <c r="AZ25" s="65">
        <f t="shared" si="18"/>
        <v>12178.45</v>
      </c>
      <c r="BA25" s="65">
        <f t="shared" ref="BA25:BA29" si="23">AO25+AT25</f>
        <v>0</v>
      </c>
      <c r="BB25" s="65">
        <v>5652.4</v>
      </c>
      <c r="BC25" s="65">
        <v>391267.18</v>
      </c>
      <c r="BD25" s="65">
        <v>-17341.64</v>
      </c>
      <c r="BE25" s="65"/>
      <c r="BF25" s="65">
        <f t="shared" si="12"/>
        <v>5652.4</v>
      </c>
      <c r="BG25" s="65">
        <f t="shared" ref="BG25:BG26" si="24">BC25+BD25</f>
        <v>373925.54</v>
      </c>
      <c r="BH25" s="65"/>
      <c r="BI25" s="65"/>
      <c r="BJ25" s="65">
        <f t="shared" si="13"/>
        <v>5652.4</v>
      </c>
      <c r="BK25" s="65">
        <f t="shared" ref="BK25:BK27" si="25">BG25+BH25</f>
        <v>373925.54</v>
      </c>
      <c r="BL25" s="65"/>
      <c r="BM25" s="65">
        <f t="shared" ref="BM25:BM30" si="26">BK25+BL25</f>
        <v>373925.54</v>
      </c>
      <c r="BN25" s="81">
        <f t="shared" si="14"/>
        <v>639553.28000000003</v>
      </c>
      <c r="BP25" s="20"/>
    </row>
    <row r="26" spans="1:72" ht="12.75">
      <c r="A26" s="505" t="s">
        <v>40</v>
      </c>
      <c r="B26" s="507"/>
      <c r="C26" s="11"/>
      <c r="D26" s="11"/>
      <c r="E26" s="8">
        <v>21052.95</v>
      </c>
      <c r="F26" s="11">
        <v>226625.3</v>
      </c>
      <c r="G26" s="9"/>
      <c r="H26" s="10">
        <v>98620</v>
      </c>
      <c r="I26" s="10">
        <f t="shared" si="19"/>
        <v>119672.95</v>
      </c>
      <c r="J26" s="10">
        <f t="shared" si="4"/>
        <v>226625.3</v>
      </c>
      <c r="K26" s="512"/>
      <c r="L26" s="513"/>
      <c r="M26" s="514"/>
      <c r="N26" s="24">
        <v>198892.49</v>
      </c>
      <c r="O26" s="34">
        <f t="shared" si="3"/>
        <v>425517.79</v>
      </c>
      <c r="P26" s="37"/>
      <c r="Q26" s="34"/>
      <c r="R26" s="35"/>
      <c r="S26" s="35">
        <v>4000</v>
      </c>
      <c r="T26" s="35"/>
      <c r="U26" s="34">
        <f t="shared" si="5"/>
        <v>425517.79</v>
      </c>
      <c r="V26" s="34">
        <v>-938</v>
      </c>
      <c r="W26" s="34">
        <v>431390.55</v>
      </c>
      <c r="X26" s="75">
        <v>551063.5</v>
      </c>
      <c r="Y26" s="65">
        <f t="shared" si="6"/>
        <v>424579.79</v>
      </c>
      <c r="Z26" s="66">
        <v>452.13</v>
      </c>
      <c r="AA26" s="66">
        <v>-236853.5</v>
      </c>
      <c r="AB26" s="66">
        <f t="shared" si="20"/>
        <v>314210</v>
      </c>
      <c r="AC26" s="69">
        <v>424579.79</v>
      </c>
      <c r="AD26" s="66">
        <f t="shared" si="15"/>
        <v>4000</v>
      </c>
      <c r="AE26" s="66">
        <v>23100</v>
      </c>
      <c r="AF26" s="66">
        <f t="shared" si="7"/>
        <v>23100</v>
      </c>
      <c r="AG26" s="66"/>
      <c r="AH26" s="65">
        <v>115500</v>
      </c>
      <c r="AI26" s="65">
        <v>756.19</v>
      </c>
      <c r="AJ26" s="65">
        <v>-108489.69</v>
      </c>
      <c r="AK26" s="65"/>
      <c r="AL26" s="65">
        <f t="shared" si="21"/>
        <v>314210</v>
      </c>
      <c r="AM26" s="70">
        <v>316914.59999999998</v>
      </c>
      <c r="AN26" s="65">
        <v>5208.32</v>
      </c>
      <c r="AO26" s="65">
        <f t="shared" si="22"/>
        <v>138600</v>
      </c>
      <c r="AP26" s="82">
        <v>7918.2</v>
      </c>
      <c r="AQ26" s="65"/>
      <c r="AR26" s="65">
        <f t="shared" si="9"/>
        <v>7918.2</v>
      </c>
      <c r="AS26" s="65"/>
      <c r="AT26" s="65">
        <v>23100</v>
      </c>
      <c r="AU26" s="65"/>
      <c r="AV26" s="65"/>
      <c r="AW26" s="65">
        <f t="shared" si="10"/>
        <v>316914.59999999998</v>
      </c>
      <c r="AX26" s="65">
        <f>AN26+AU26</f>
        <v>5208.32</v>
      </c>
      <c r="AY26" s="65"/>
      <c r="AZ26" s="65">
        <f t="shared" si="18"/>
        <v>5208.32</v>
      </c>
      <c r="BA26" s="65">
        <f t="shared" si="23"/>
        <v>161700</v>
      </c>
      <c r="BB26" s="65">
        <f t="shared" si="11"/>
        <v>7918.2</v>
      </c>
      <c r="BC26" s="65"/>
      <c r="BD26" s="65">
        <v>17341.64</v>
      </c>
      <c r="BE26" s="65">
        <v>-7918.2</v>
      </c>
      <c r="BF26" s="65">
        <f t="shared" si="12"/>
        <v>0</v>
      </c>
      <c r="BG26" s="65">
        <f t="shared" si="24"/>
        <v>17341.64</v>
      </c>
      <c r="BH26" s="65">
        <v>-17341.64</v>
      </c>
      <c r="BI26" s="65"/>
      <c r="BJ26" s="65">
        <f t="shared" si="13"/>
        <v>0</v>
      </c>
      <c r="BK26" s="65">
        <f t="shared" si="25"/>
        <v>0</v>
      </c>
      <c r="BL26" s="65"/>
      <c r="BM26" s="65">
        <f t="shared" si="26"/>
        <v>0</v>
      </c>
      <c r="BN26" s="81">
        <f t="shared" si="14"/>
        <v>798032.91999999993</v>
      </c>
      <c r="BP26" s="20"/>
    </row>
    <row r="27" spans="1:72" ht="12.75">
      <c r="A27" s="505" t="s">
        <v>41</v>
      </c>
      <c r="B27" s="507"/>
      <c r="C27" s="8"/>
      <c r="D27" s="8"/>
      <c r="E27" s="8">
        <v>20799.3</v>
      </c>
      <c r="F27" s="8">
        <v>227894.2</v>
      </c>
      <c r="G27" s="9"/>
      <c r="H27" s="10"/>
      <c r="I27" s="10">
        <f t="shared" si="19"/>
        <v>20799.3</v>
      </c>
      <c r="J27" s="10">
        <f t="shared" si="4"/>
        <v>227894.2</v>
      </c>
      <c r="K27" s="512"/>
      <c r="L27" s="513"/>
      <c r="M27" s="514"/>
      <c r="N27" s="24"/>
      <c r="O27" s="34">
        <f t="shared" si="3"/>
        <v>227894.2</v>
      </c>
      <c r="P27" s="34"/>
      <c r="Q27" s="34"/>
      <c r="R27" s="35"/>
      <c r="S27" s="35">
        <v>4000</v>
      </c>
      <c r="T27" s="35"/>
      <c r="U27" s="34">
        <f t="shared" si="5"/>
        <v>227894.2</v>
      </c>
      <c r="V27" s="34"/>
      <c r="W27" s="34"/>
      <c r="X27" s="75">
        <v>20799.3</v>
      </c>
      <c r="Y27" s="65">
        <f t="shared" si="6"/>
        <v>227894.2</v>
      </c>
      <c r="Z27" s="66">
        <v>7247.13</v>
      </c>
      <c r="AA27" s="66">
        <v>236853.5</v>
      </c>
      <c r="AB27" s="66">
        <f t="shared" si="20"/>
        <v>257652.8</v>
      </c>
      <c r="AC27" s="69">
        <v>235593.46</v>
      </c>
      <c r="AD27" s="66">
        <f t="shared" si="15"/>
        <v>4000</v>
      </c>
      <c r="AE27" s="66">
        <v>24400</v>
      </c>
      <c r="AF27" s="66">
        <f t="shared" si="7"/>
        <v>24400</v>
      </c>
      <c r="AG27" s="66"/>
      <c r="AH27" s="65"/>
      <c r="AI27" s="65">
        <v>756.19</v>
      </c>
      <c r="AJ27" s="65">
        <v>42494.720000000001</v>
      </c>
      <c r="AK27" s="65">
        <v>-40802.800000000003</v>
      </c>
      <c r="AL27" s="65">
        <f t="shared" si="21"/>
        <v>216850</v>
      </c>
      <c r="AM27" s="70">
        <f t="shared" si="8"/>
        <v>278088.18</v>
      </c>
      <c r="AN27" s="65">
        <v>4304.0600000000004</v>
      </c>
      <c r="AO27" s="65">
        <f t="shared" si="22"/>
        <v>24400</v>
      </c>
      <c r="AP27" s="82">
        <v>7822.8</v>
      </c>
      <c r="AQ27" s="65"/>
      <c r="AR27" s="65">
        <f t="shared" si="9"/>
        <v>7822.8</v>
      </c>
      <c r="AS27" s="65"/>
      <c r="AT27" s="65"/>
      <c r="AU27" s="65">
        <v>7900.5</v>
      </c>
      <c r="AV27" s="65">
        <f>-23738.44</f>
        <v>-23738.44</v>
      </c>
      <c r="AW27" s="65">
        <f t="shared" si="10"/>
        <v>254349.74</v>
      </c>
      <c r="AX27" s="65">
        <f t="shared" si="17"/>
        <v>12204.560000000001</v>
      </c>
      <c r="AY27" s="83"/>
      <c r="AZ27" s="65">
        <f>AX27+AY27</f>
        <v>12204.560000000001</v>
      </c>
      <c r="BA27" s="65">
        <f t="shared" si="23"/>
        <v>24400</v>
      </c>
      <c r="BB27" s="65">
        <f t="shared" si="11"/>
        <v>7822.8</v>
      </c>
      <c r="BC27" s="65"/>
      <c r="BD27" s="65"/>
      <c r="BE27" s="65">
        <v>7918.2</v>
      </c>
      <c r="BF27" s="65">
        <f t="shared" si="12"/>
        <v>15741</v>
      </c>
      <c r="BG27" s="65"/>
      <c r="BH27" s="65">
        <v>17341.64</v>
      </c>
      <c r="BI27" s="65">
        <v>-8741</v>
      </c>
      <c r="BJ27" s="65">
        <f t="shared" si="13"/>
        <v>7000</v>
      </c>
      <c r="BK27" s="65">
        <f t="shared" si="25"/>
        <v>17341.64</v>
      </c>
      <c r="BL27" s="65">
        <v>-17341.64</v>
      </c>
      <c r="BM27" s="65">
        <f t="shared" si="26"/>
        <v>0</v>
      </c>
      <c r="BN27" s="81">
        <f t="shared" si="14"/>
        <v>514804.3</v>
      </c>
      <c r="BP27" s="20"/>
    </row>
    <row r="28" spans="1:72" ht="12.75">
      <c r="A28" s="505" t="s">
        <v>42</v>
      </c>
      <c r="B28" s="507"/>
      <c r="C28" s="8"/>
      <c r="D28" s="8"/>
      <c r="E28" s="8">
        <v>23082.15</v>
      </c>
      <c r="F28" s="8">
        <v>273141.09999999998</v>
      </c>
      <c r="G28" s="9"/>
      <c r="H28" s="10"/>
      <c r="I28" s="10">
        <f t="shared" si="19"/>
        <v>23082.15</v>
      </c>
      <c r="J28" s="10">
        <f t="shared" si="4"/>
        <v>273141.09999999998</v>
      </c>
      <c r="K28" s="512"/>
      <c r="L28" s="513"/>
      <c r="M28" s="514"/>
      <c r="N28" s="24"/>
      <c r="O28" s="34">
        <f t="shared" si="3"/>
        <v>273141.09999999998</v>
      </c>
      <c r="P28" s="34"/>
      <c r="Q28" s="34"/>
      <c r="R28" s="35"/>
      <c r="S28" s="35"/>
      <c r="T28" s="35"/>
      <c r="U28" s="34">
        <f t="shared" si="5"/>
        <v>273141.09999999998</v>
      </c>
      <c r="V28" s="34"/>
      <c r="W28" s="34"/>
      <c r="X28" s="75">
        <v>23082.15</v>
      </c>
      <c r="Y28" s="65">
        <f t="shared" si="6"/>
        <v>273141.09999999998</v>
      </c>
      <c r="Z28" s="66"/>
      <c r="AA28" s="66"/>
      <c r="AB28" s="66">
        <f t="shared" si="20"/>
        <v>23082.15</v>
      </c>
      <c r="AC28" s="69">
        <v>273141.09999999998</v>
      </c>
      <c r="AD28" s="66">
        <f t="shared" si="15"/>
        <v>0</v>
      </c>
      <c r="AE28" s="66">
        <v>24400</v>
      </c>
      <c r="AF28" s="66">
        <f t="shared" si="7"/>
        <v>24400</v>
      </c>
      <c r="AG28" s="66"/>
      <c r="AH28" s="65"/>
      <c r="AI28" s="65"/>
      <c r="AJ28" s="65">
        <v>58094.47</v>
      </c>
      <c r="AK28" s="65">
        <v>40802.800000000003</v>
      </c>
      <c r="AL28" s="65">
        <f t="shared" si="21"/>
        <v>63884.950000000004</v>
      </c>
      <c r="AM28" s="70">
        <f t="shared" si="8"/>
        <v>331235.56999999995</v>
      </c>
      <c r="AN28" s="65">
        <f t="shared" si="16"/>
        <v>0</v>
      </c>
      <c r="AO28" s="65">
        <f t="shared" si="22"/>
        <v>24400</v>
      </c>
      <c r="AP28" s="82">
        <v>8681.4</v>
      </c>
      <c r="AQ28" s="65"/>
      <c r="AR28" s="65">
        <f t="shared" si="9"/>
        <v>8681.4</v>
      </c>
      <c r="AS28" s="65"/>
      <c r="AT28" s="65"/>
      <c r="AU28" s="65"/>
      <c r="AV28" s="65">
        <f>23738.44-5484.74</f>
        <v>18253.699999999997</v>
      </c>
      <c r="AW28" s="65">
        <f t="shared" si="10"/>
        <v>349489.26999999996</v>
      </c>
      <c r="AX28" s="65">
        <f t="shared" si="17"/>
        <v>0</v>
      </c>
      <c r="AY28" s="65">
        <v>5484.74</v>
      </c>
      <c r="AZ28" s="65">
        <f>AX28+AY28</f>
        <v>5484.74</v>
      </c>
      <c r="BA28" s="65">
        <f t="shared" si="23"/>
        <v>24400</v>
      </c>
      <c r="BB28" s="65">
        <f t="shared" si="11"/>
        <v>8681.4</v>
      </c>
      <c r="BC28" s="65"/>
      <c r="BD28" s="65"/>
      <c r="BE28" s="65"/>
      <c r="BF28" s="65">
        <f t="shared" si="12"/>
        <v>8681.4</v>
      </c>
      <c r="BG28" s="65"/>
      <c r="BH28" s="65"/>
      <c r="BI28" s="65">
        <v>8741</v>
      </c>
      <c r="BJ28" s="65">
        <f t="shared" si="13"/>
        <v>17422.400000000001</v>
      </c>
      <c r="BK28" s="65"/>
      <c r="BL28" s="65">
        <v>17341.64</v>
      </c>
      <c r="BM28" s="65">
        <f t="shared" si="26"/>
        <v>17341.64</v>
      </c>
      <c r="BN28" s="81">
        <f t="shared" si="14"/>
        <v>478023</v>
      </c>
      <c r="BP28" s="20"/>
    </row>
    <row r="29" spans="1:72" ht="12.75">
      <c r="A29" s="504" t="s">
        <v>43</v>
      </c>
      <c r="B29" s="504"/>
      <c r="C29" s="9"/>
      <c r="D29" s="9"/>
      <c r="E29" s="8">
        <v>7925.05</v>
      </c>
      <c r="F29" s="9">
        <v>326516.7</v>
      </c>
      <c r="G29" s="9"/>
      <c r="H29" s="10"/>
      <c r="I29" s="10">
        <f t="shared" si="19"/>
        <v>7925.05</v>
      </c>
      <c r="J29" s="10">
        <f t="shared" si="4"/>
        <v>326516.7</v>
      </c>
      <c r="K29" s="512"/>
      <c r="L29" s="513"/>
      <c r="M29" s="514"/>
      <c r="N29" s="24"/>
      <c r="O29" s="34">
        <f t="shared" si="3"/>
        <v>326516.7</v>
      </c>
      <c r="P29" s="36"/>
      <c r="Q29" s="34"/>
      <c r="R29" s="35"/>
      <c r="S29" s="35"/>
      <c r="T29" s="35"/>
      <c r="U29" s="34">
        <f t="shared" si="5"/>
        <v>326516.7</v>
      </c>
      <c r="V29" s="34"/>
      <c r="W29" s="34"/>
      <c r="X29" s="75">
        <v>7925.05</v>
      </c>
      <c r="Y29" s="65">
        <f t="shared" si="6"/>
        <v>326516.7</v>
      </c>
      <c r="Z29" s="66"/>
      <c r="AA29" s="66"/>
      <c r="AB29" s="66">
        <f t="shared" si="20"/>
        <v>7925.05</v>
      </c>
      <c r="AC29" s="69">
        <v>326516.7</v>
      </c>
      <c r="AD29" s="66">
        <f t="shared" si="15"/>
        <v>0</v>
      </c>
      <c r="AE29" s="66">
        <v>24600</v>
      </c>
      <c r="AF29" s="66">
        <f t="shared" si="7"/>
        <v>24600</v>
      </c>
      <c r="AG29" s="66"/>
      <c r="AH29" s="65"/>
      <c r="AI29" s="65"/>
      <c r="AJ29" s="65"/>
      <c r="AK29" s="65"/>
      <c r="AL29" s="65">
        <f t="shared" si="21"/>
        <v>7925.05</v>
      </c>
      <c r="AM29" s="70">
        <f t="shared" si="8"/>
        <v>326516.7</v>
      </c>
      <c r="AN29" s="65">
        <f t="shared" si="16"/>
        <v>0</v>
      </c>
      <c r="AO29" s="65">
        <f t="shared" si="22"/>
        <v>24600</v>
      </c>
      <c r="AP29" s="82">
        <v>14023.8</v>
      </c>
      <c r="AQ29" s="65"/>
      <c r="AR29" s="65">
        <f t="shared" si="9"/>
        <v>14023.8</v>
      </c>
      <c r="AS29" s="65">
        <v>-6747.6</v>
      </c>
      <c r="AT29" s="65"/>
      <c r="AU29" s="65"/>
      <c r="AV29" s="65"/>
      <c r="AW29" s="65">
        <f t="shared" si="10"/>
        <v>326516.7</v>
      </c>
      <c r="AX29" s="65">
        <f t="shared" si="17"/>
        <v>0</v>
      </c>
      <c r="AY29" s="65"/>
      <c r="AZ29" s="65">
        <f t="shared" si="18"/>
        <v>0</v>
      </c>
      <c r="BA29" s="65">
        <f t="shared" si="23"/>
        <v>24600</v>
      </c>
      <c r="BB29" s="65">
        <v>14023.8</v>
      </c>
      <c r="BC29" s="65"/>
      <c r="BD29" s="65"/>
      <c r="BE29" s="65"/>
      <c r="BF29" s="65">
        <f t="shared" si="12"/>
        <v>14023.8</v>
      </c>
      <c r="BG29" s="65"/>
      <c r="BH29" s="65"/>
      <c r="BI29" s="65"/>
      <c r="BJ29" s="65">
        <f t="shared" si="13"/>
        <v>14023.8</v>
      </c>
      <c r="BK29" s="65"/>
      <c r="BL29" s="65"/>
      <c r="BM29" s="65">
        <f t="shared" si="26"/>
        <v>0</v>
      </c>
      <c r="BN29" s="81">
        <f t="shared" si="14"/>
        <v>373065.55</v>
      </c>
      <c r="BP29" s="20"/>
    </row>
    <row r="30" spans="1:72" ht="10.5" hidden="1" customHeight="1">
      <c r="A30" s="13"/>
      <c r="B30" s="13"/>
      <c r="C30" s="14"/>
      <c r="D30" s="14"/>
      <c r="E30" s="14"/>
      <c r="F30" s="14"/>
      <c r="G30" s="14"/>
      <c r="H30" s="14"/>
      <c r="I30" s="14"/>
      <c r="J30" s="14"/>
      <c r="K30" s="15"/>
      <c r="L30" s="15"/>
      <c r="M30" s="15"/>
      <c r="N30" s="15"/>
      <c r="O30" s="15"/>
      <c r="P30" s="16"/>
      <c r="Q30" s="15"/>
      <c r="R30" s="15"/>
      <c r="S30" s="15"/>
      <c r="T30" s="15"/>
      <c r="U30" s="35">
        <f t="shared" si="5"/>
        <v>0</v>
      </c>
      <c r="V30" s="48"/>
      <c r="W30" s="48"/>
      <c r="X30" s="48"/>
      <c r="Y30" s="48"/>
      <c r="Z30" s="48"/>
      <c r="AA30" s="48"/>
      <c r="AB30" s="48"/>
      <c r="AC30" s="63"/>
      <c r="AD30" s="15"/>
      <c r="AE30" s="15"/>
      <c r="AF30" s="15"/>
      <c r="AG30" s="15"/>
      <c r="AH30" s="15"/>
      <c r="AI30" s="15"/>
      <c r="AJ30" s="15"/>
      <c r="AK30" s="15"/>
      <c r="AL30" s="15"/>
      <c r="AM30" s="62"/>
      <c r="AN30" s="15"/>
      <c r="AO30" s="15"/>
      <c r="AP30" s="15"/>
      <c r="AQ30" s="15"/>
      <c r="AR30" s="15"/>
      <c r="AS30" s="15"/>
      <c r="AT30" s="15"/>
      <c r="AU30" s="15"/>
      <c r="AV30" s="15"/>
      <c r="AW30" s="67">
        <f t="shared" si="10"/>
        <v>0</v>
      </c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67">
        <f t="shared" si="26"/>
        <v>0</v>
      </c>
      <c r="BN30" s="7">
        <f t="shared" ref="BN30" si="27">I30+O30+AD30+AO30+AR30+BC30</f>
        <v>0</v>
      </c>
    </row>
    <row r="31" spans="1:72" s="12" customFormat="1" ht="10.5" customHeight="1">
      <c r="A31" s="13"/>
      <c r="B31" s="13"/>
      <c r="C31" s="14"/>
      <c r="D31" s="14"/>
      <c r="E31" s="14"/>
      <c r="F31" s="14"/>
      <c r="G31" s="14"/>
      <c r="H31" s="14"/>
      <c r="I31" s="14"/>
      <c r="J31" s="14"/>
      <c r="K31" s="15"/>
      <c r="L31" s="15"/>
      <c r="M31" s="15"/>
      <c r="N31" s="15"/>
      <c r="O31" s="15"/>
      <c r="P31" s="16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64"/>
      <c r="AD31" s="15"/>
      <c r="AE31" s="15"/>
      <c r="AF31" s="15"/>
      <c r="AG31" s="15"/>
      <c r="AH31" s="15"/>
      <c r="AI31" s="15"/>
      <c r="AJ31" s="15"/>
      <c r="AK31" s="15"/>
      <c r="AL31" s="15"/>
      <c r="AM31" s="62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7"/>
    </row>
    <row r="32" spans="1:72">
      <c r="A32" s="489" t="s">
        <v>54</v>
      </c>
      <c r="B32" s="489"/>
      <c r="C32" s="491"/>
      <c r="D32" s="491"/>
      <c r="E32" s="491"/>
      <c r="F32" s="491"/>
      <c r="G32" s="491"/>
      <c r="H32" s="491"/>
      <c r="I32" s="491"/>
      <c r="J32" s="491"/>
      <c r="K32" s="491"/>
      <c r="L32" s="3"/>
      <c r="M32" s="492"/>
      <c r="N32" s="492"/>
      <c r="O32" s="492"/>
      <c r="P32" s="492"/>
      <c r="Q32" s="492"/>
      <c r="R32" s="492"/>
      <c r="S32" s="492"/>
      <c r="T32" s="492"/>
      <c r="U32" s="492"/>
      <c r="V32" s="492"/>
      <c r="W32" s="492"/>
      <c r="X32" s="492"/>
      <c r="Y32" s="492"/>
      <c r="Z32" s="492"/>
      <c r="AA32" s="492"/>
      <c r="AB32" s="492"/>
      <c r="AC32" s="492"/>
      <c r="AD32" s="492"/>
      <c r="AE32" s="492"/>
      <c r="AF32" s="18"/>
      <c r="AG32" s="18"/>
      <c r="AH32" s="18"/>
      <c r="AI32" s="49"/>
      <c r="AJ32" s="49"/>
      <c r="AK32" s="49"/>
      <c r="AL32" s="49"/>
      <c r="AM32" s="49"/>
      <c r="AN32" s="49"/>
      <c r="AO32" s="493" t="s">
        <v>44</v>
      </c>
      <c r="AP32" s="493"/>
      <c r="AQ32" s="493"/>
      <c r="AR32" s="493"/>
      <c r="AS32" s="493"/>
      <c r="AT32" s="493"/>
      <c r="AU32" s="493"/>
      <c r="AV32" s="493"/>
      <c r="AW32" s="493"/>
      <c r="AX32" s="493"/>
      <c r="AY32" s="493"/>
      <c r="AZ32" s="493"/>
      <c r="BA32" s="493"/>
      <c r="BB32" s="493"/>
      <c r="BC32" s="493"/>
      <c r="BD32" s="493"/>
      <c r="BE32" s="493"/>
      <c r="BF32" s="493"/>
      <c r="BG32" s="493"/>
      <c r="BH32" s="493"/>
      <c r="BI32" s="493"/>
      <c r="BJ32" s="493"/>
      <c r="BK32" s="493"/>
      <c r="BL32" s="493"/>
      <c r="BM32" s="493"/>
      <c r="BN32" s="493"/>
    </row>
    <row r="33" spans="1:66" ht="12" customHeight="1">
      <c r="A33" s="58"/>
      <c r="B33" s="5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489"/>
      <c r="N33" s="489"/>
      <c r="O33" s="489"/>
      <c r="P33" s="489"/>
      <c r="Q33" s="489"/>
      <c r="R33" s="489"/>
      <c r="S33" s="489"/>
      <c r="T33" s="489"/>
      <c r="U33" s="489"/>
      <c r="V33" s="489"/>
      <c r="W33" s="489"/>
      <c r="X33" s="489"/>
      <c r="Y33" s="489"/>
      <c r="Z33" s="489"/>
      <c r="AA33" s="489"/>
      <c r="AB33" s="489"/>
      <c r="AC33" s="489"/>
      <c r="AD33" s="489"/>
      <c r="AE33" s="489"/>
      <c r="AF33" s="18"/>
      <c r="AG33" s="18"/>
      <c r="AH33" s="18"/>
      <c r="AI33" s="18"/>
      <c r="AJ33" s="18"/>
      <c r="AK33" s="18"/>
      <c r="AL33" s="18"/>
      <c r="AM33" s="18"/>
      <c r="AN33" s="18"/>
      <c r="AO33" s="494" t="s">
        <v>30</v>
      </c>
      <c r="AP33" s="494"/>
      <c r="AQ33" s="494"/>
      <c r="AR33" s="494"/>
      <c r="AS33" s="494"/>
      <c r="AT33" s="494"/>
      <c r="AU33" s="494"/>
      <c r="AV33" s="494"/>
      <c r="AW33" s="494"/>
      <c r="AX33" s="494"/>
      <c r="AY33" s="494"/>
      <c r="AZ33" s="494"/>
      <c r="BA33" s="494"/>
      <c r="BB33" s="494"/>
      <c r="BC33" s="494"/>
      <c r="BD33" s="494"/>
      <c r="BE33" s="494"/>
      <c r="BF33" s="494"/>
      <c r="BG33" s="494"/>
      <c r="BH33" s="494"/>
      <c r="BI33" s="494"/>
      <c r="BJ33" s="494"/>
      <c r="BK33" s="494"/>
      <c r="BL33" s="494"/>
      <c r="BM33" s="494"/>
      <c r="BN33" s="494"/>
    </row>
    <row r="34" spans="1:66">
      <c r="A34" s="495" t="s">
        <v>55</v>
      </c>
      <c r="B34" s="495"/>
      <c r="C34" s="491"/>
      <c r="D34" s="491"/>
      <c r="E34" s="491"/>
      <c r="F34" s="491"/>
      <c r="G34" s="491"/>
      <c r="H34" s="491"/>
      <c r="I34" s="491"/>
      <c r="J34" s="491"/>
      <c r="K34" s="491"/>
      <c r="L34" s="3"/>
      <c r="M34" s="492"/>
      <c r="N34" s="492"/>
      <c r="O34" s="492"/>
      <c r="P34" s="492"/>
      <c r="Q34" s="492"/>
      <c r="R34" s="492"/>
      <c r="S34" s="492"/>
      <c r="T34" s="492"/>
      <c r="U34" s="492"/>
      <c r="V34" s="492"/>
      <c r="W34" s="492"/>
      <c r="X34" s="492"/>
      <c r="Y34" s="492"/>
      <c r="Z34" s="492"/>
      <c r="AA34" s="492"/>
      <c r="AB34" s="492"/>
      <c r="AC34" s="492"/>
      <c r="AD34" s="492"/>
      <c r="AE34" s="492"/>
      <c r="AF34" s="49"/>
      <c r="AG34" s="49"/>
      <c r="AH34" s="49"/>
      <c r="AI34" s="49"/>
      <c r="AJ34" s="49"/>
      <c r="AK34" s="49"/>
      <c r="AL34" s="49"/>
      <c r="AM34" s="49"/>
      <c r="AN34" s="49"/>
      <c r="AO34" s="493" t="s">
        <v>56</v>
      </c>
      <c r="AP34" s="493"/>
      <c r="AQ34" s="493"/>
      <c r="AR34" s="493"/>
      <c r="AS34" s="493"/>
      <c r="AT34" s="493"/>
      <c r="AU34" s="493"/>
      <c r="AV34" s="493"/>
      <c r="AW34" s="493"/>
      <c r="AX34" s="493"/>
      <c r="AY34" s="493"/>
      <c r="AZ34" s="493"/>
      <c r="BA34" s="493"/>
      <c r="BB34" s="493"/>
      <c r="BC34" s="493"/>
      <c r="BD34" s="493"/>
      <c r="BE34" s="493"/>
      <c r="BF34" s="493"/>
      <c r="BG34" s="493"/>
      <c r="BH34" s="493"/>
      <c r="BI34" s="493"/>
      <c r="BJ34" s="493"/>
      <c r="BK34" s="493"/>
      <c r="BL34" s="493"/>
      <c r="BM34" s="493"/>
      <c r="BN34" s="493"/>
    </row>
    <row r="35" spans="1:66" ht="12" customHeight="1">
      <c r="A35" s="18"/>
      <c r="B35" s="3"/>
      <c r="C35" s="489"/>
      <c r="D35" s="489"/>
      <c r="E35" s="489"/>
      <c r="F35" s="489"/>
      <c r="G35" s="489"/>
      <c r="H35" s="489"/>
      <c r="I35" s="489"/>
      <c r="J35" s="489"/>
      <c r="K35" s="489"/>
      <c r="L35" s="3"/>
      <c r="M35" s="489"/>
      <c r="N35" s="489"/>
      <c r="O35" s="489"/>
      <c r="P35" s="489"/>
      <c r="Q35" s="489"/>
      <c r="R35" s="489"/>
      <c r="S35" s="489"/>
      <c r="T35" s="489"/>
      <c r="U35" s="489"/>
      <c r="V35" s="489"/>
      <c r="W35" s="489"/>
      <c r="X35" s="489"/>
      <c r="Y35" s="489"/>
      <c r="Z35" s="489"/>
      <c r="AA35" s="489"/>
      <c r="AB35" s="489"/>
      <c r="AC35" s="489"/>
      <c r="AD35" s="489"/>
      <c r="AE35" s="489"/>
      <c r="AF35" s="18"/>
      <c r="AG35" s="18"/>
      <c r="AH35" s="18"/>
      <c r="AI35" s="18"/>
      <c r="AJ35" s="18"/>
      <c r="AK35" s="18"/>
      <c r="AL35" s="18"/>
      <c r="AM35" s="18"/>
      <c r="AN35" s="18"/>
      <c r="AO35" s="490" t="s">
        <v>30</v>
      </c>
      <c r="AP35" s="490"/>
      <c r="AQ35" s="490"/>
      <c r="AR35" s="490"/>
      <c r="AS35" s="490"/>
      <c r="AT35" s="490"/>
      <c r="AU35" s="490"/>
      <c r="AV35" s="490"/>
      <c r="AW35" s="490"/>
      <c r="AX35" s="490"/>
      <c r="AY35" s="490"/>
      <c r="AZ35" s="490"/>
      <c r="BA35" s="490"/>
      <c r="BB35" s="490"/>
      <c r="BC35" s="490"/>
      <c r="BD35" s="490"/>
      <c r="BE35" s="490"/>
      <c r="BF35" s="490"/>
      <c r="BG35" s="490"/>
      <c r="BH35" s="490"/>
      <c r="BI35" s="490"/>
      <c r="BJ35" s="490"/>
      <c r="BK35" s="490"/>
      <c r="BL35" s="490"/>
      <c r="BM35" s="490"/>
      <c r="BN35" s="490"/>
    </row>
    <row r="36" spans="1:66" ht="10.5" customHeight="1"/>
  </sheetData>
  <mergeCells count="118">
    <mergeCell ref="A28:B28"/>
    <mergeCell ref="A29:B29"/>
    <mergeCell ref="C34:K34"/>
    <mergeCell ref="K28:M28"/>
    <mergeCell ref="K29:M29"/>
    <mergeCell ref="A22:B22"/>
    <mergeCell ref="K22:M22"/>
    <mergeCell ref="A27:B27"/>
    <mergeCell ref="K27:M27"/>
    <mergeCell ref="A25:B25"/>
    <mergeCell ref="K24:M24"/>
    <mergeCell ref="A26:B26"/>
    <mergeCell ref="A23:B23"/>
    <mergeCell ref="K23:M23"/>
    <mergeCell ref="A24:B24"/>
    <mergeCell ref="K25:M25"/>
    <mergeCell ref="K26:M26"/>
    <mergeCell ref="BN15:BN16"/>
    <mergeCell ref="A14:B14"/>
    <mergeCell ref="K11:M11"/>
    <mergeCell ref="A12:B12"/>
    <mergeCell ref="K12:M12"/>
    <mergeCell ref="AC15:AC16"/>
    <mergeCell ref="AV15:AV16"/>
    <mergeCell ref="AW15:AW16"/>
    <mergeCell ref="AY15:AY16"/>
    <mergeCell ref="AZ15:AZ16"/>
    <mergeCell ref="I15:I16"/>
    <mergeCell ref="AG15:AG16"/>
    <mergeCell ref="AH15:AH16"/>
    <mergeCell ref="P15:P16"/>
    <mergeCell ref="N15:N16"/>
    <mergeCell ref="AN15:AN16"/>
    <mergeCell ref="AU15:AU16"/>
    <mergeCell ref="AX15:AX16"/>
    <mergeCell ref="AK15:AK16"/>
    <mergeCell ref="AL15:AL16"/>
    <mergeCell ref="BJ15:BJ16"/>
    <mergeCell ref="BL15:BL16"/>
    <mergeCell ref="BM15:BM16"/>
    <mergeCell ref="BK15:BK16"/>
    <mergeCell ref="A5:AO5"/>
    <mergeCell ref="A17:B17"/>
    <mergeCell ref="K17:M17"/>
    <mergeCell ref="J15:J16"/>
    <mergeCell ref="A18:B18"/>
    <mergeCell ref="K18:M18"/>
    <mergeCell ref="A15:B16"/>
    <mergeCell ref="C15:C16"/>
    <mergeCell ref="F15:F16"/>
    <mergeCell ref="G15:G16"/>
    <mergeCell ref="K15:M16"/>
    <mergeCell ref="D15:D16"/>
    <mergeCell ref="E15:E16"/>
    <mergeCell ref="W15:W16"/>
    <mergeCell ref="X15:X16"/>
    <mergeCell ref="Z15:Z16"/>
    <mergeCell ref="AA15:AA16"/>
    <mergeCell ref="AF15:AF16"/>
    <mergeCell ref="A9:BN9"/>
    <mergeCell ref="A10:BN10"/>
    <mergeCell ref="BC15:BC16"/>
    <mergeCell ref="BD15:BD16"/>
    <mergeCell ref="BE15:BE16"/>
    <mergeCell ref="BF15:BF16"/>
    <mergeCell ref="A21:B21"/>
    <mergeCell ref="A19:B19"/>
    <mergeCell ref="K21:M21"/>
    <mergeCell ref="K19:M19"/>
    <mergeCell ref="A20:B20"/>
    <mergeCell ref="K20:M20"/>
    <mergeCell ref="Q15:Q16"/>
    <mergeCell ref="R15:R16"/>
    <mergeCell ref="BI15:BI16"/>
    <mergeCell ref="BG15:BG16"/>
    <mergeCell ref="BH15:BH16"/>
    <mergeCell ref="A8:B8"/>
    <mergeCell ref="A13:B13"/>
    <mergeCell ref="K13:M13"/>
    <mergeCell ref="K14:M14"/>
    <mergeCell ref="BB15:BB16"/>
    <mergeCell ref="AS15:AS16"/>
    <mergeCell ref="AJ15:AJ16"/>
    <mergeCell ref="AP15:AP16"/>
    <mergeCell ref="AQ15:AQ16"/>
    <mergeCell ref="AI15:AI16"/>
    <mergeCell ref="V15:V16"/>
    <mergeCell ref="Y15:Y16"/>
    <mergeCell ref="AD15:AD16"/>
    <mergeCell ref="AO15:AO16"/>
    <mergeCell ref="AR15:AR16"/>
    <mergeCell ref="AT15:AT16"/>
    <mergeCell ref="BA15:BA16"/>
    <mergeCell ref="AM15:AM16"/>
    <mergeCell ref="A1:AK1"/>
    <mergeCell ref="A4:AK4"/>
    <mergeCell ref="A3:AK3"/>
    <mergeCell ref="A2:AK2"/>
    <mergeCell ref="M35:AE35"/>
    <mergeCell ref="AO35:BN35"/>
    <mergeCell ref="A32:B32"/>
    <mergeCell ref="C32:K32"/>
    <mergeCell ref="M32:AE32"/>
    <mergeCell ref="AO32:BN32"/>
    <mergeCell ref="M33:AE33"/>
    <mergeCell ref="AO33:BN33"/>
    <mergeCell ref="C35:K35"/>
    <mergeCell ref="A34:B34"/>
    <mergeCell ref="M34:AE34"/>
    <mergeCell ref="AO34:BN34"/>
    <mergeCell ref="S15:S16"/>
    <mergeCell ref="AB15:AB16"/>
    <mergeCell ref="T15:T16"/>
    <mergeCell ref="H15:H16"/>
    <mergeCell ref="C8:AL8"/>
    <mergeCell ref="O15:O16"/>
    <mergeCell ref="U15:U16"/>
    <mergeCell ref="AE15:AE1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E82"/>
  <sheetViews>
    <sheetView topLeftCell="B16" workbookViewId="0">
      <selection activeCell="BA70" sqref="BA70"/>
    </sheetView>
  </sheetViews>
  <sheetFormatPr defaultRowHeight="12"/>
  <cols>
    <col min="1" max="1" width="3.83203125" style="280" hidden="1" customWidth="1"/>
    <col min="2" max="2" width="25.5" style="280" customWidth="1"/>
    <col min="3" max="3" width="6.1640625" style="421" customWidth="1"/>
    <col min="4" max="4" width="29.1640625" style="419" customWidth="1"/>
    <col min="5" max="5" width="16" style="283" hidden="1" customWidth="1"/>
    <col min="6" max="6" width="14.33203125" style="280" hidden="1" customWidth="1"/>
    <col min="7" max="7" width="13.33203125" style="280" hidden="1" customWidth="1"/>
    <col min="8" max="8" width="16.5" style="284" hidden="1" customWidth="1"/>
    <col min="9" max="9" width="16.1640625" style="282" hidden="1" customWidth="1"/>
    <col min="10" max="10" width="16.1640625" style="283" hidden="1" customWidth="1"/>
    <col min="11" max="11" width="14.5" style="283" hidden="1" customWidth="1"/>
    <col min="12" max="13" width="16.6640625" style="283" hidden="1" customWidth="1"/>
    <col min="14" max="14" width="16.1640625" style="284" hidden="1" customWidth="1"/>
    <col min="15" max="15" width="12.83203125" style="284" hidden="1" customWidth="1"/>
    <col min="16" max="16" width="17" style="284" hidden="1" customWidth="1"/>
    <col min="17" max="17" width="18.6640625" style="284" hidden="1" customWidth="1"/>
    <col min="18" max="18" width="14.6640625" style="283" hidden="1" customWidth="1"/>
    <col min="19" max="19" width="18.33203125" style="283" hidden="1" customWidth="1"/>
    <col min="20" max="21" width="16.33203125" style="283" hidden="1" customWidth="1"/>
    <col min="22" max="22" width="14.6640625" style="283" hidden="1" customWidth="1"/>
    <col min="23" max="23" width="13.6640625" style="283" hidden="1" customWidth="1"/>
    <col min="24" max="31" width="14.83203125" style="283" hidden="1" customWidth="1"/>
    <col min="32" max="32" width="5.6640625" style="420" customWidth="1"/>
    <col min="33" max="33" width="12.5" style="283" hidden="1" customWidth="1"/>
    <col min="34" max="36" width="12.83203125" style="283" hidden="1" customWidth="1"/>
    <col min="37" max="40" width="13.5" style="283" hidden="1" customWidth="1"/>
    <col min="41" max="41" width="0.83203125" style="283" hidden="1" customWidth="1"/>
    <col min="42" max="44" width="12" style="283" customWidth="1"/>
    <col min="45" max="45" width="14.6640625" style="283" customWidth="1"/>
    <col min="46" max="46" width="14" style="279" hidden="1" customWidth="1"/>
    <col min="47" max="47" width="12.6640625" style="279" hidden="1" customWidth="1"/>
    <col min="48" max="48" width="17.83203125" style="279" bestFit="1" customWidth="1"/>
    <col min="49" max="50" width="17.83203125" style="279" customWidth="1"/>
    <col min="51" max="52" width="11.6640625" style="279" bestFit="1" customWidth="1"/>
    <col min="53" max="53" width="17.6640625" style="279" customWidth="1"/>
    <col min="54" max="54" width="9.33203125" style="279"/>
    <col min="55" max="55" width="10.1640625" style="279" bestFit="1" customWidth="1"/>
    <col min="56" max="57" width="9.33203125" style="279"/>
    <col min="58" max="16384" width="9.33203125" style="280"/>
  </cols>
  <sheetData>
    <row r="1" spans="1:57" ht="12" customHeight="1">
      <c r="A1" s="536" t="s">
        <v>176</v>
      </c>
      <c r="B1" s="536"/>
      <c r="C1" s="536"/>
      <c r="D1" s="536"/>
      <c r="E1" s="536"/>
      <c r="F1" s="536"/>
      <c r="G1" s="536"/>
      <c r="H1" s="536"/>
      <c r="I1" s="536"/>
      <c r="J1" s="536"/>
      <c r="K1" s="536"/>
      <c r="L1" s="536"/>
      <c r="M1" s="536"/>
      <c r="N1" s="536"/>
      <c r="O1" s="536"/>
      <c r="P1" s="536"/>
      <c r="Q1" s="536"/>
      <c r="R1" s="536"/>
      <c r="S1" s="536"/>
      <c r="T1" s="536"/>
      <c r="U1" s="536"/>
      <c r="V1" s="536"/>
      <c r="W1" s="536"/>
      <c r="X1" s="536"/>
      <c r="Y1" s="536"/>
      <c r="Z1" s="536"/>
      <c r="AA1" s="536"/>
      <c r="AB1" s="536"/>
      <c r="AC1" s="536"/>
      <c r="AD1" s="536"/>
      <c r="AE1" s="536"/>
      <c r="AF1" s="536"/>
      <c r="AG1" s="536"/>
      <c r="AH1" s="536"/>
      <c r="AI1" s="536"/>
      <c r="AJ1" s="536"/>
      <c r="AK1" s="536"/>
      <c r="AL1" s="536"/>
      <c r="AM1" s="536"/>
      <c r="AN1" s="536"/>
      <c r="AO1" s="536"/>
      <c r="AP1" s="536"/>
      <c r="AQ1" s="536"/>
      <c r="AR1" s="536"/>
      <c r="AS1" s="536"/>
      <c r="AT1" s="536"/>
    </row>
    <row r="2" spans="1:57" ht="12" customHeight="1">
      <c r="A2" s="536"/>
      <c r="B2" s="536"/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  <c r="O2" s="536"/>
      <c r="P2" s="536"/>
      <c r="Q2" s="536"/>
      <c r="R2" s="536"/>
      <c r="S2" s="536"/>
      <c r="T2" s="536"/>
      <c r="U2" s="536"/>
      <c r="V2" s="536"/>
      <c r="W2" s="536"/>
      <c r="X2" s="536"/>
      <c r="Y2" s="536"/>
      <c r="Z2" s="536"/>
      <c r="AA2" s="536"/>
      <c r="AB2" s="536"/>
      <c r="AC2" s="536"/>
      <c r="AD2" s="536"/>
      <c r="AE2" s="536"/>
      <c r="AF2" s="536"/>
      <c r="AG2" s="536"/>
      <c r="AH2" s="536"/>
      <c r="AI2" s="536"/>
      <c r="AJ2" s="536"/>
      <c r="AK2" s="536"/>
      <c r="AL2" s="536"/>
      <c r="AM2" s="536"/>
      <c r="AN2" s="536"/>
      <c r="AO2" s="536"/>
      <c r="AP2" s="536"/>
      <c r="AQ2" s="536"/>
      <c r="AR2" s="536"/>
      <c r="AS2" s="536"/>
      <c r="AT2" s="536"/>
      <c r="AV2" s="213">
        <v>44635</v>
      </c>
    </row>
    <row r="3" spans="1:57" ht="12" customHeight="1">
      <c r="A3" s="536"/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536"/>
    </row>
    <row r="4" spans="1:57" ht="16.5" customHeight="1" thickBot="1">
      <c r="A4" s="473"/>
      <c r="B4" s="473"/>
      <c r="C4" s="473"/>
      <c r="D4" s="281"/>
      <c r="E4" s="473"/>
      <c r="F4" s="473"/>
      <c r="G4" s="473"/>
      <c r="H4" s="473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</row>
    <row r="5" spans="1:57" ht="18.75" customHeight="1">
      <c r="A5" s="473"/>
      <c r="B5" s="537" t="s">
        <v>177</v>
      </c>
      <c r="C5" s="538"/>
      <c r="D5" s="538"/>
      <c r="E5" s="538"/>
      <c r="F5" s="538"/>
      <c r="G5" s="538"/>
      <c r="H5" s="538"/>
      <c r="I5" s="538"/>
      <c r="J5" s="538"/>
      <c r="K5" s="538"/>
      <c r="L5" s="538"/>
      <c r="M5" s="538"/>
      <c r="N5" s="538"/>
      <c r="O5" s="538"/>
      <c r="P5" s="538"/>
      <c r="Q5" s="287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539" t="s">
        <v>77</v>
      </c>
      <c r="AG5" s="288"/>
      <c r="AH5" s="288"/>
      <c r="AI5" s="288"/>
      <c r="AJ5" s="288"/>
      <c r="AK5" s="288"/>
      <c r="AL5" s="288"/>
      <c r="AM5" s="541" t="s">
        <v>178</v>
      </c>
      <c r="AN5" s="541" t="s">
        <v>48</v>
      </c>
      <c r="AO5" s="541" t="s">
        <v>179</v>
      </c>
      <c r="AP5" s="533" t="s">
        <v>237</v>
      </c>
      <c r="AQ5" s="533" t="s">
        <v>263</v>
      </c>
      <c r="AR5" s="533" t="s">
        <v>279</v>
      </c>
      <c r="AS5" s="533" t="s">
        <v>280</v>
      </c>
      <c r="AT5" s="533" t="s">
        <v>180</v>
      </c>
      <c r="AU5" s="533" t="s">
        <v>90</v>
      </c>
      <c r="AV5" s="533" t="s">
        <v>263</v>
      </c>
      <c r="AW5" s="533" t="s">
        <v>281</v>
      </c>
      <c r="AX5" s="542" t="s">
        <v>282</v>
      </c>
    </row>
    <row r="6" spans="1:57" ht="20.25" customHeight="1">
      <c r="A6" s="544"/>
      <c r="B6" s="545" t="s">
        <v>0</v>
      </c>
      <c r="C6" s="543" t="s">
        <v>181</v>
      </c>
      <c r="D6" s="548" t="s">
        <v>182</v>
      </c>
      <c r="E6" s="549" t="s">
        <v>2</v>
      </c>
      <c r="F6" s="289" t="s">
        <v>183</v>
      </c>
      <c r="G6" s="289" t="s">
        <v>184</v>
      </c>
      <c r="H6" s="290" t="s">
        <v>185</v>
      </c>
      <c r="I6" s="558" t="s">
        <v>186</v>
      </c>
      <c r="J6" s="550" t="s">
        <v>10</v>
      </c>
      <c r="K6" s="550" t="s">
        <v>186</v>
      </c>
      <c r="L6" s="550" t="s">
        <v>10</v>
      </c>
      <c r="M6" s="550" t="s">
        <v>186</v>
      </c>
      <c r="N6" s="550" t="s">
        <v>10</v>
      </c>
      <c r="O6" s="550" t="s">
        <v>186</v>
      </c>
      <c r="P6" s="550" t="s">
        <v>10</v>
      </c>
      <c r="Q6" s="550" t="s">
        <v>48</v>
      </c>
      <c r="R6" s="543" t="s">
        <v>187</v>
      </c>
      <c r="S6" s="290"/>
      <c r="T6" s="290"/>
      <c r="U6" s="557" t="s">
        <v>63</v>
      </c>
      <c r="V6" s="543" t="s">
        <v>187</v>
      </c>
      <c r="W6" s="543" t="s">
        <v>63</v>
      </c>
      <c r="X6" s="543" t="s">
        <v>187</v>
      </c>
      <c r="Y6" s="543" t="s">
        <v>63</v>
      </c>
      <c r="Z6" s="543" t="s">
        <v>187</v>
      </c>
      <c r="AA6" s="543" t="s">
        <v>63</v>
      </c>
      <c r="AB6" s="543" t="s">
        <v>61</v>
      </c>
      <c r="AC6" s="543" t="s">
        <v>63</v>
      </c>
      <c r="AD6" s="543" t="s">
        <v>62</v>
      </c>
      <c r="AE6" s="543" t="s">
        <v>76</v>
      </c>
      <c r="AF6" s="540"/>
      <c r="AG6" s="543" t="s">
        <v>61</v>
      </c>
      <c r="AH6" s="543" t="s">
        <v>76</v>
      </c>
      <c r="AI6" s="542" t="s">
        <v>66</v>
      </c>
      <c r="AJ6" s="542" t="s">
        <v>88</v>
      </c>
      <c r="AK6" s="543" t="s">
        <v>66</v>
      </c>
      <c r="AL6" s="543" t="s">
        <v>48</v>
      </c>
      <c r="AM6" s="542"/>
      <c r="AN6" s="542"/>
      <c r="AO6" s="542"/>
      <c r="AP6" s="534"/>
      <c r="AQ6" s="534"/>
      <c r="AR6" s="534"/>
      <c r="AS6" s="534"/>
      <c r="AT6" s="534"/>
      <c r="AU6" s="534"/>
      <c r="AV6" s="534"/>
      <c r="AW6" s="534"/>
      <c r="AX6" s="542"/>
    </row>
    <row r="7" spans="1:57" s="293" customFormat="1" ht="57" customHeight="1">
      <c r="A7" s="544"/>
      <c r="B7" s="545"/>
      <c r="C7" s="543"/>
      <c r="D7" s="548"/>
      <c r="E7" s="549"/>
      <c r="F7" s="291" t="s">
        <v>188</v>
      </c>
      <c r="G7" s="291" t="s">
        <v>188</v>
      </c>
      <c r="H7" s="471" t="s">
        <v>189</v>
      </c>
      <c r="I7" s="558"/>
      <c r="J7" s="550"/>
      <c r="K7" s="550"/>
      <c r="L7" s="550"/>
      <c r="M7" s="550"/>
      <c r="N7" s="550"/>
      <c r="O7" s="550"/>
      <c r="P7" s="550"/>
      <c r="Q7" s="550"/>
      <c r="R7" s="543"/>
      <c r="S7" s="471"/>
      <c r="T7" s="471"/>
      <c r="U7" s="557"/>
      <c r="V7" s="543"/>
      <c r="W7" s="543"/>
      <c r="X7" s="543"/>
      <c r="Y7" s="543"/>
      <c r="Z7" s="543"/>
      <c r="AA7" s="543"/>
      <c r="AB7" s="543"/>
      <c r="AC7" s="543"/>
      <c r="AD7" s="543"/>
      <c r="AE7" s="543"/>
      <c r="AF7" s="540"/>
      <c r="AG7" s="543"/>
      <c r="AH7" s="543"/>
      <c r="AI7" s="542"/>
      <c r="AJ7" s="542"/>
      <c r="AK7" s="543"/>
      <c r="AL7" s="543"/>
      <c r="AM7" s="542"/>
      <c r="AN7" s="542"/>
      <c r="AO7" s="542"/>
      <c r="AP7" s="535"/>
      <c r="AQ7" s="535"/>
      <c r="AR7" s="535"/>
      <c r="AS7" s="535"/>
      <c r="AT7" s="534"/>
      <c r="AU7" s="534"/>
      <c r="AV7" s="535"/>
      <c r="AW7" s="535"/>
      <c r="AX7" s="542"/>
      <c r="AY7" s="292"/>
      <c r="AZ7" s="292"/>
      <c r="BA7" s="292"/>
      <c r="BB7" s="292"/>
      <c r="BC7" s="292"/>
      <c r="BD7" s="292"/>
      <c r="BE7" s="292"/>
    </row>
    <row r="8" spans="1:57" ht="12.75">
      <c r="A8" s="294"/>
      <c r="B8" s="295" t="s">
        <v>190</v>
      </c>
      <c r="C8" s="296">
        <v>222</v>
      </c>
      <c r="D8" s="297" t="s">
        <v>13</v>
      </c>
      <c r="E8" s="298"/>
      <c r="F8" s="298"/>
      <c r="G8" s="298"/>
      <c r="H8" s="299"/>
      <c r="I8" s="300"/>
      <c r="J8" s="301"/>
      <c r="K8" s="471"/>
      <c r="L8" s="471"/>
      <c r="M8" s="471"/>
      <c r="N8" s="302"/>
      <c r="O8" s="302"/>
      <c r="P8" s="302"/>
      <c r="Q8" s="302"/>
      <c r="R8" s="471"/>
      <c r="S8" s="471"/>
      <c r="T8" s="471"/>
      <c r="U8" s="471"/>
      <c r="V8" s="471"/>
      <c r="W8" s="471">
        <f>W9</f>
        <v>5149</v>
      </c>
      <c r="X8" s="471">
        <f t="shared" ref="X8:X9" si="0">V8+W8</f>
        <v>5149</v>
      </c>
      <c r="Y8" s="471"/>
      <c r="Z8" s="471">
        <f t="shared" ref="Z8:Z9" si="1">X8+Y8</f>
        <v>5149</v>
      </c>
      <c r="AA8" s="471"/>
      <c r="AB8" s="471">
        <f t="shared" ref="AB8:AB9" si="2">Z8+AA8</f>
        <v>5149</v>
      </c>
      <c r="AC8" s="471"/>
      <c r="AD8" s="471">
        <f t="shared" ref="AD8:AD9" si="3">AB8+AC8</f>
        <v>5149</v>
      </c>
      <c r="AE8" s="471"/>
      <c r="AF8" s="303" t="s">
        <v>78</v>
      </c>
      <c r="AG8" s="471">
        <f>AB8+AE8</f>
        <v>5149</v>
      </c>
      <c r="AH8" s="471" t="e">
        <f>AH9+#REF!+#REF!</f>
        <v>#REF!</v>
      </c>
      <c r="AI8" s="471">
        <v>500</v>
      </c>
      <c r="AJ8" s="471"/>
      <c r="AK8" s="471" t="e">
        <f>AK9+#REF!+#REF!</f>
        <v>#REF!</v>
      </c>
      <c r="AL8" s="471" t="e">
        <f>AL9+#REF!+#REF!</f>
        <v>#REF!</v>
      </c>
      <c r="AM8" s="471" t="e">
        <f>AM9+#REF!+#REF!</f>
        <v>#REF!</v>
      </c>
      <c r="AN8" s="471" t="e">
        <f>AN9+#REF!+#REF!</f>
        <v>#REF!</v>
      </c>
      <c r="AO8" s="471"/>
      <c r="AP8" s="471">
        <f t="shared" ref="AP8:AU8" si="4">AP9</f>
        <v>113</v>
      </c>
      <c r="AQ8" s="568">
        <f>AQ9</f>
        <v>-113</v>
      </c>
      <c r="AR8" s="568">
        <f>AP8+AQ8</f>
        <v>0</v>
      </c>
      <c r="AS8" s="471">
        <f>AS9</f>
        <v>1588.73</v>
      </c>
      <c r="AT8" s="471">
        <f t="shared" si="4"/>
        <v>800</v>
      </c>
      <c r="AU8" s="471">
        <f t="shared" si="4"/>
        <v>800</v>
      </c>
      <c r="AV8" s="304">
        <f>AV9</f>
        <v>0</v>
      </c>
      <c r="AW8" s="304">
        <f>AS8+AV8</f>
        <v>1588.73</v>
      </c>
      <c r="AX8" s="568">
        <f>AR8+AW8</f>
        <v>1588.73</v>
      </c>
    </row>
    <row r="9" spans="1:57" ht="24">
      <c r="A9" s="294"/>
      <c r="B9" s="305">
        <v>130</v>
      </c>
      <c r="C9" s="296"/>
      <c r="D9" s="306" t="s">
        <v>191</v>
      </c>
      <c r="E9" s="307"/>
      <c r="F9" s="307"/>
      <c r="G9" s="307"/>
      <c r="H9" s="308"/>
      <c r="I9" s="309"/>
      <c r="J9" s="310"/>
      <c r="K9" s="304"/>
      <c r="L9" s="304"/>
      <c r="M9" s="304"/>
      <c r="N9" s="311"/>
      <c r="O9" s="311"/>
      <c r="P9" s="311"/>
      <c r="Q9" s="311"/>
      <c r="R9" s="304"/>
      <c r="S9" s="304"/>
      <c r="T9" s="304"/>
      <c r="U9" s="304"/>
      <c r="V9" s="304"/>
      <c r="W9" s="312">
        <v>5149</v>
      </c>
      <c r="X9" s="304">
        <f t="shared" si="0"/>
        <v>5149</v>
      </c>
      <c r="Y9" s="304"/>
      <c r="Z9" s="304">
        <f t="shared" si="1"/>
        <v>5149</v>
      </c>
      <c r="AA9" s="304"/>
      <c r="AB9" s="304">
        <f t="shared" si="2"/>
        <v>5149</v>
      </c>
      <c r="AC9" s="304"/>
      <c r="AD9" s="304">
        <f t="shared" si="3"/>
        <v>5149</v>
      </c>
      <c r="AE9" s="304"/>
      <c r="AF9" s="313"/>
      <c r="AG9" s="304">
        <f t="shared" ref="AG9:AG14" si="5">AB9+AE9</f>
        <v>5149</v>
      </c>
      <c r="AH9" s="304">
        <v>-4777.1000000000004</v>
      </c>
      <c r="AI9" s="312">
        <v>371.9</v>
      </c>
      <c r="AJ9" s="312"/>
      <c r="AK9" s="312">
        <f t="shared" ref="AK9" si="6">AI9+AJ9</f>
        <v>371.9</v>
      </c>
      <c r="AL9" s="312">
        <v>-371.9</v>
      </c>
      <c r="AM9" s="312">
        <v>800</v>
      </c>
      <c r="AN9" s="312">
        <v>0</v>
      </c>
      <c r="AO9" s="312"/>
      <c r="AP9" s="312">
        <v>113</v>
      </c>
      <c r="AQ9" s="569">
        <v>-113</v>
      </c>
      <c r="AR9" s="569">
        <f>AP9+AQ9</f>
        <v>0</v>
      </c>
      <c r="AS9" s="312">
        <v>1588.73</v>
      </c>
      <c r="AT9" s="312">
        <v>800</v>
      </c>
      <c r="AU9" s="312">
        <f t="shared" ref="AU9:AU11" si="7">AT9</f>
        <v>800</v>
      </c>
      <c r="AV9" s="312">
        <v>0</v>
      </c>
      <c r="AW9" s="304">
        <f t="shared" ref="AW9:AW62" si="8">AS9+AV9</f>
        <v>1588.73</v>
      </c>
      <c r="AX9" s="568">
        <f t="shared" ref="AX9:AX62" si="9">AR9+AW9</f>
        <v>1588.73</v>
      </c>
    </row>
    <row r="10" spans="1:57" ht="12.75">
      <c r="A10" s="294"/>
      <c r="B10" s="314"/>
      <c r="C10" s="296">
        <v>211</v>
      </c>
      <c r="D10" s="87" t="s">
        <v>3</v>
      </c>
      <c r="E10" s="298"/>
      <c r="F10" s="298"/>
      <c r="G10" s="298"/>
      <c r="H10" s="299"/>
      <c r="I10" s="300"/>
      <c r="J10" s="301"/>
      <c r="K10" s="471"/>
      <c r="L10" s="471"/>
      <c r="M10" s="471"/>
      <c r="N10" s="302"/>
      <c r="O10" s="302"/>
      <c r="P10" s="302"/>
      <c r="Q10" s="302"/>
      <c r="R10" s="471"/>
      <c r="S10" s="471"/>
      <c r="T10" s="471"/>
      <c r="U10" s="471"/>
      <c r="V10" s="471"/>
      <c r="W10" s="290"/>
      <c r="X10" s="471"/>
      <c r="Y10" s="471"/>
      <c r="Z10" s="471"/>
      <c r="AA10" s="471"/>
      <c r="AB10" s="471"/>
      <c r="AC10" s="471"/>
      <c r="AD10" s="471"/>
      <c r="AE10" s="471">
        <v>18846</v>
      </c>
      <c r="AF10" s="303" t="s">
        <v>79</v>
      </c>
      <c r="AG10" s="471">
        <f t="shared" si="5"/>
        <v>18846</v>
      </c>
      <c r="AH10" s="471"/>
      <c r="AI10" s="471">
        <v>18846</v>
      </c>
      <c r="AJ10" s="471"/>
      <c r="AK10" s="471">
        <f>AI10+AJ10</f>
        <v>18846</v>
      </c>
      <c r="AL10" s="471">
        <v>-14762.31</v>
      </c>
      <c r="AM10" s="471">
        <v>18846</v>
      </c>
      <c r="AN10" s="471">
        <v>0</v>
      </c>
      <c r="AO10" s="471"/>
      <c r="AP10" s="471">
        <v>0</v>
      </c>
      <c r="AQ10" s="471">
        <v>0</v>
      </c>
      <c r="AR10" s="304">
        <f t="shared" ref="AR10:AR13" si="10">AP10+AQ10</f>
        <v>0</v>
      </c>
      <c r="AS10" s="471">
        <v>8605.2199999999993</v>
      </c>
      <c r="AT10" s="471">
        <f>AI10</f>
        <v>18846</v>
      </c>
      <c r="AU10" s="471">
        <f t="shared" si="7"/>
        <v>18846</v>
      </c>
      <c r="AV10" s="304">
        <v>0</v>
      </c>
      <c r="AW10" s="304">
        <f t="shared" si="8"/>
        <v>8605.2199999999993</v>
      </c>
      <c r="AX10" s="304">
        <f t="shared" si="9"/>
        <v>8605.2199999999993</v>
      </c>
    </row>
    <row r="11" spans="1:57" ht="25.5">
      <c r="A11" s="294"/>
      <c r="B11" s="314"/>
      <c r="C11" s="296">
        <v>213</v>
      </c>
      <c r="D11" s="87" t="s">
        <v>4</v>
      </c>
      <c r="E11" s="298"/>
      <c r="F11" s="298"/>
      <c r="G11" s="298"/>
      <c r="H11" s="299"/>
      <c r="I11" s="300"/>
      <c r="J11" s="301"/>
      <c r="K11" s="471"/>
      <c r="L11" s="471"/>
      <c r="M11" s="471"/>
      <c r="N11" s="302"/>
      <c r="O11" s="302"/>
      <c r="P11" s="302"/>
      <c r="Q11" s="302"/>
      <c r="R11" s="471"/>
      <c r="S11" s="471"/>
      <c r="T11" s="471"/>
      <c r="U11" s="471"/>
      <c r="V11" s="471"/>
      <c r="W11" s="290"/>
      <c r="X11" s="471"/>
      <c r="Y11" s="471"/>
      <c r="Z11" s="471"/>
      <c r="AA11" s="471"/>
      <c r="AB11" s="471"/>
      <c r="AC11" s="471"/>
      <c r="AD11" s="471"/>
      <c r="AE11" s="471">
        <v>8154</v>
      </c>
      <c r="AF11" s="303" t="s">
        <v>80</v>
      </c>
      <c r="AG11" s="471">
        <f t="shared" si="5"/>
        <v>8154</v>
      </c>
      <c r="AH11" s="471"/>
      <c r="AI11" s="471">
        <v>8154</v>
      </c>
      <c r="AJ11" s="471"/>
      <c r="AK11" s="471">
        <f>AI11+AJ11</f>
        <v>8154</v>
      </c>
      <c r="AL11" s="471">
        <v>-6920.73</v>
      </c>
      <c r="AM11" s="471">
        <v>5691.49</v>
      </c>
      <c r="AN11" s="471">
        <v>0</v>
      </c>
      <c r="AO11" s="471">
        <v>113</v>
      </c>
      <c r="AP11" s="471">
        <v>0</v>
      </c>
      <c r="AQ11" s="471">
        <v>0</v>
      </c>
      <c r="AR11" s="304">
        <f t="shared" si="10"/>
        <v>0</v>
      </c>
      <c r="AS11" s="471">
        <v>2711.78</v>
      </c>
      <c r="AT11" s="471">
        <v>5691.49</v>
      </c>
      <c r="AU11" s="471">
        <f t="shared" si="7"/>
        <v>5691.49</v>
      </c>
      <c r="AV11" s="304">
        <v>0</v>
      </c>
      <c r="AW11" s="304">
        <f t="shared" si="8"/>
        <v>2711.78</v>
      </c>
      <c r="AX11" s="304">
        <f t="shared" si="9"/>
        <v>2711.78</v>
      </c>
    </row>
    <row r="12" spans="1:57" ht="12.75">
      <c r="A12" s="294"/>
      <c r="B12" s="314"/>
      <c r="C12" s="296">
        <v>346</v>
      </c>
      <c r="D12" s="87" t="s">
        <v>192</v>
      </c>
      <c r="E12" s="298"/>
      <c r="F12" s="298"/>
      <c r="G12" s="298"/>
      <c r="H12" s="299"/>
      <c r="I12" s="300"/>
      <c r="J12" s="301"/>
      <c r="K12" s="471"/>
      <c r="L12" s="471"/>
      <c r="M12" s="471"/>
      <c r="N12" s="302"/>
      <c r="O12" s="302"/>
      <c r="P12" s="302"/>
      <c r="Q12" s="302"/>
      <c r="R12" s="471"/>
      <c r="S12" s="471"/>
      <c r="T12" s="471"/>
      <c r="U12" s="471"/>
      <c r="V12" s="471"/>
      <c r="W12" s="290"/>
      <c r="X12" s="471"/>
      <c r="Y12" s="471"/>
      <c r="Z12" s="471"/>
      <c r="AA12" s="471"/>
      <c r="AB12" s="471"/>
      <c r="AC12" s="471"/>
      <c r="AD12" s="471"/>
      <c r="AE12" s="471"/>
      <c r="AF12" s="303" t="s">
        <v>78</v>
      </c>
      <c r="AG12" s="471"/>
      <c r="AH12" s="471"/>
      <c r="AI12" s="471"/>
      <c r="AJ12" s="471"/>
      <c r="AK12" s="471"/>
      <c r="AL12" s="471"/>
      <c r="AM12" s="471"/>
      <c r="AN12" s="471"/>
      <c r="AO12" s="471"/>
      <c r="AP12" s="471">
        <v>21870.81</v>
      </c>
      <c r="AQ12" s="568">
        <v>-21870.81</v>
      </c>
      <c r="AR12" s="568">
        <f t="shared" si="10"/>
        <v>0</v>
      </c>
      <c r="AS12" s="304">
        <f>278283.05+52565.21</f>
        <v>330848.26</v>
      </c>
      <c r="AT12" s="304"/>
      <c r="AU12" s="304"/>
      <c r="AV12" s="304">
        <v>0</v>
      </c>
      <c r="AW12" s="304">
        <f t="shared" si="8"/>
        <v>330848.26</v>
      </c>
      <c r="AX12" s="568">
        <f>AR12+AW12</f>
        <v>330848.26</v>
      </c>
    </row>
    <row r="13" spans="1:57" ht="38.25">
      <c r="A13" s="294"/>
      <c r="B13" s="570"/>
      <c r="C13" s="571">
        <v>226</v>
      </c>
      <c r="D13" s="572" t="s">
        <v>283</v>
      </c>
      <c r="E13" s="573"/>
      <c r="F13" s="573"/>
      <c r="G13" s="573"/>
      <c r="H13" s="574"/>
      <c r="I13" s="575"/>
      <c r="J13" s="576"/>
      <c r="K13" s="568"/>
      <c r="L13" s="568"/>
      <c r="M13" s="568"/>
      <c r="N13" s="577"/>
      <c r="O13" s="577"/>
      <c r="P13" s="577"/>
      <c r="Q13" s="577"/>
      <c r="R13" s="568"/>
      <c r="S13" s="568"/>
      <c r="T13" s="568"/>
      <c r="U13" s="568"/>
      <c r="V13" s="568"/>
      <c r="W13" s="569"/>
      <c r="X13" s="568"/>
      <c r="Y13" s="568"/>
      <c r="Z13" s="568"/>
      <c r="AA13" s="568"/>
      <c r="AB13" s="568"/>
      <c r="AC13" s="568"/>
      <c r="AD13" s="568"/>
      <c r="AE13" s="568"/>
      <c r="AF13" s="578" t="s">
        <v>78</v>
      </c>
      <c r="AG13" s="568"/>
      <c r="AH13" s="568"/>
      <c r="AI13" s="568"/>
      <c r="AJ13" s="568"/>
      <c r="AK13" s="568"/>
      <c r="AL13" s="568"/>
      <c r="AM13" s="568"/>
      <c r="AN13" s="568"/>
      <c r="AO13" s="568"/>
      <c r="AP13" s="568">
        <v>0</v>
      </c>
      <c r="AQ13" s="568">
        <v>21983.81</v>
      </c>
      <c r="AR13" s="568">
        <f t="shared" si="10"/>
        <v>21983.81</v>
      </c>
      <c r="AS13" s="568">
        <v>0</v>
      </c>
      <c r="AT13" s="568"/>
      <c r="AU13" s="568"/>
      <c r="AV13" s="568">
        <v>0</v>
      </c>
      <c r="AW13" s="568">
        <f t="shared" si="8"/>
        <v>0</v>
      </c>
      <c r="AX13" s="568">
        <f>AR13+AW13</f>
        <v>21983.81</v>
      </c>
    </row>
    <row r="14" spans="1:57">
      <c r="A14" s="294"/>
      <c r="B14" s="546" t="s">
        <v>11</v>
      </c>
      <c r="C14" s="547"/>
      <c r="D14" s="547"/>
      <c r="E14" s="315"/>
      <c r="F14" s="315"/>
      <c r="G14" s="315"/>
      <c r="H14" s="316"/>
      <c r="I14" s="317"/>
      <c r="J14" s="318"/>
      <c r="K14" s="319"/>
      <c r="L14" s="319"/>
      <c r="M14" s="319"/>
      <c r="N14" s="320"/>
      <c r="O14" s="320"/>
      <c r="P14" s="320"/>
      <c r="Q14" s="320"/>
      <c r="R14" s="319"/>
      <c r="S14" s="319"/>
      <c r="T14" s="319"/>
      <c r="U14" s="319"/>
      <c r="V14" s="319"/>
      <c r="W14" s="321"/>
      <c r="X14" s="319"/>
      <c r="Y14" s="319"/>
      <c r="Z14" s="319"/>
      <c r="AA14" s="319"/>
      <c r="AB14" s="319" t="e">
        <f>AB8+#REF!+#REF!</f>
        <v>#REF!</v>
      </c>
      <c r="AC14" s="319"/>
      <c r="AD14" s="319"/>
      <c r="AE14" s="319" t="e">
        <f>#REF!+#REF!+AE10+AE11+#REF!</f>
        <v>#REF!</v>
      </c>
      <c r="AF14" s="322"/>
      <c r="AG14" s="319" t="e">
        <f t="shared" si="5"/>
        <v>#REF!</v>
      </c>
      <c r="AH14" s="319" t="e">
        <f>AH8+#REF!+#REF!</f>
        <v>#REF!</v>
      </c>
      <c r="AI14" s="319">
        <v>66500</v>
      </c>
      <c r="AJ14" s="319"/>
      <c r="AK14" s="319" t="e">
        <f>#REF!+AK11+AK10+#REF!+AK8</f>
        <v>#REF!</v>
      </c>
      <c r="AL14" s="319" t="e">
        <f>#REF!+AL11+AL10+#REF!+AL8</f>
        <v>#REF!</v>
      </c>
      <c r="AM14" s="319" t="e">
        <f>AM11+AM10+#REF!+AM8</f>
        <v>#REF!</v>
      </c>
      <c r="AN14" s="319" t="e">
        <f>AN11+AN10+#REF!+AN8</f>
        <v>#REF!</v>
      </c>
      <c r="AO14" s="319">
        <v>113</v>
      </c>
      <c r="AP14" s="319">
        <f>AP8+AP10+AP11+AP12+AP13</f>
        <v>21983.81</v>
      </c>
      <c r="AQ14" s="319">
        <f>AQ8+AQ10+AQ11+AQ12+AQ13</f>
        <v>0</v>
      </c>
      <c r="AR14" s="319">
        <f>AP14+AQ14</f>
        <v>21983.81</v>
      </c>
      <c r="AS14" s="319">
        <f>AS8+AS10+AS11+AS12+AS13</f>
        <v>343753.99</v>
      </c>
      <c r="AT14" s="319">
        <f t="shared" ref="AT14:AV14" si="11">AT8+AT10+AT11+AT12+AT13</f>
        <v>25337.489999999998</v>
      </c>
      <c r="AU14" s="319">
        <f t="shared" si="11"/>
        <v>25337.489999999998</v>
      </c>
      <c r="AV14" s="319">
        <f t="shared" si="11"/>
        <v>0</v>
      </c>
      <c r="AW14" s="319">
        <f>AS14+AV14</f>
        <v>343753.99</v>
      </c>
      <c r="AX14" s="319">
        <f>AR14+AW14</f>
        <v>365737.8</v>
      </c>
      <c r="AY14" s="279" t="s">
        <v>193</v>
      </c>
      <c r="AZ14" s="279" t="s">
        <v>194</v>
      </c>
      <c r="BA14" s="279">
        <v>222</v>
      </c>
    </row>
    <row r="15" spans="1:57" s="334" customFormat="1" ht="12.75">
      <c r="A15" s="294"/>
      <c r="B15" s="323" t="s">
        <v>195</v>
      </c>
      <c r="C15" s="324">
        <v>211</v>
      </c>
      <c r="D15" s="325" t="s">
        <v>3</v>
      </c>
      <c r="E15" s="326"/>
      <c r="F15" s="327"/>
      <c r="G15" s="328"/>
      <c r="H15" s="329"/>
      <c r="I15" s="327"/>
      <c r="J15" s="330"/>
      <c r="K15" s="312"/>
      <c r="L15" s="312"/>
      <c r="M15" s="312"/>
      <c r="N15" s="331"/>
      <c r="O15" s="331"/>
      <c r="P15" s="331"/>
      <c r="Q15" s="331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3" t="s">
        <v>79</v>
      </c>
      <c r="AG15" s="312"/>
      <c r="AH15" s="304">
        <v>502613.06</v>
      </c>
      <c r="AI15" s="304">
        <v>502613.06</v>
      </c>
      <c r="AJ15" s="304">
        <v>-26461.13</v>
      </c>
      <c r="AK15" s="304">
        <f>AI15+AJ15</f>
        <v>476151.93</v>
      </c>
      <c r="AL15" s="304"/>
      <c r="AM15" s="304">
        <v>464554.04</v>
      </c>
      <c r="AN15" s="304">
        <f>AS15-AM15</f>
        <v>-88831.209999999963</v>
      </c>
      <c r="AO15" s="304"/>
      <c r="AP15" s="304"/>
      <c r="AQ15" s="304"/>
      <c r="AR15" s="304"/>
      <c r="AS15" s="304">
        <v>375722.83</v>
      </c>
      <c r="AT15" s="304">
        <v>464554.04</v>
      </c>
      <c r="AU15" s="304">
        <v>464554.04</v>
      </c>
      <c r="AV15" s="304">
        <v>0</v>
      </c>
      <c r="AW15" s="304">
        <f t="shared" si="8"/>
        <v>375722.83</v>
      </c>
      <c r="AX15" s="304">
        <f t="shared" si="9"/>
        <v>375722.83</v>
      </c>
      <c r="AY15" s="332" t="s">
        <v>193</v>
      </c>
      <c r="AZ15" s="333" t="s">
        <v>242</v>
      </c>
      <c r="BA15" s="332">
        <v>346</v>
      </c>
      <c r="BB15" s="332" t="s">
        <v>243</v>
      </c>
      <c r="BC15" s="332"/>
      <c r="BD15" s="332"/>
      <c r="BE15" s="332"/>
    </row>
    <row r="16" spans="1:57" s="334" customFormat="1" ht="24">
      <c r="A16" s="294"/>
      <c r="B16" s="335" t="s">
        <v>196</v>
      </c>
      <c r="C16" s="324">
        <v>213</v>
      </c>
      <c r="D16" s="325" t="s">
        <v>4</v>
      </c>
      <c r="E16" s="326"/>
      <c r="F16" s="327"/>
      <c r="G16" s="328"/>
      <c r="H16" s="329"/>
      <c r="I16" s="327"/>
      <c r="J16" s="330"/>
      <c r="K16" s="312"/>
      <c r="L16" s="312"/>
      <c r="M16" s="312"/>
      <c r="N16" s="331"/>
      <c r="O16" s="331"/>
      <c r="P16" s="331"/>
      <c r="Q16" s="331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3" t="s">
        <v>80</v>
      </c>
      <c r="AG16" s="312"/>
      <c r="AH16" s="304">
        <v>151789.15</v>
      </c>
      <c r="AI16" s="304">
        <v>151789.15</v>
      </c>
      <c r="AJ16" s="304">
        <v>-7991.92</v>
      </c>
      <c r="AK16" s="304">
        <f>AI16+AJ16</f>
        <v>143797.22999999998</v>
      </c>
      <c r="AL16" s="304"/>
      <c r="AM16" s="304">
        <v>140295.12</v>
      </c>
      <c r="AN16" s="304">
        <f>AS16-AM16</f>
        <v>-26825.78</v>
      </c>
      <c r="AO16" s="304"/>
      <c r="AP16" s="304"/>
      <c r="AQ16" s="304"/>
      <c r="AR16" s="304"/>
      <c r="AS16" s="304">
        <v>113469.34</v>
      </c>
      <c r="AT16" s="304">
        <v>140295.12</v>
      </c>
      <c r="AU16" s="304">
        <v>140295.12</v>
      </c>
      <c r="AV16" s="304">
        <v>0</v>
      </c>
      <c r="AW16" s="304">
        <f t="shared" si="8"/>
        <v>113469.34</v>
      </c>
      <c r="AX16" s="304">
        <f t="shared" si="9"/>
        <v>113469.34</v>
      </c>
      <c r="AY16" s="332"/>
      <c r="AZ16" s="332"/>
      <c r="BA16" s="332"/>
      <c r="BB16" s="332"/>
      <c r="BC16" s="332"/>
      <c r="BD16" s="332"/>
      <c r="BE16" s="332"/>
    </row>
    <row r="17" spans="1:57" s="334" customFormat="1" ht="27" customHeight="1">
      <c r="A17" s="294"/>
      <c r="B17" s="336" t="s">
        <v>197</v>
      </c>
      <c r="C17" s="324">
        <v>310</v>
      </c>
      <c r="D17" s="325" t="s">
        <v>99</v>
      </c>
      <c r="E17" s="326"/>
      <c r="F17" s="327"/>
      <c r="G17" s="328"/>
      <c r="H17" s="329"/>
      <c r="I17" s="327"/>
      <c r="J17" s="330"/>
      <c r="K17" s="312"/>
      <c r="L17" s="312"/>
      <c r="M17" s="312"/>
      <c r="N17" s="331"/>
      <c r="O17" s="331"/>
      <c r="P17" s="331"/>
      <c r="Q17" s="331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3" t="s">
        <v>78</v>
      </c>
      <c r="AG17" s="312"/>
      <c r="AH17" s="312"/>
      <c r="AI17" s="312"/>
      <c r="AJ17" s="312"/>
      <c r="AK17" s="312"/>
      <c r="AL17" s="312"/>
      <c r="AM17" s="312"/>
      <c r="AN17" s="312"/>
      <c r="AO17" s="312"/>
      <c r="AP17" s="312"/>
      <c r="AQ17" s="312"/>
      <c r="AR17" s="312"/>
      <c r="AS17" s="304">
        <f>AS18</f>
        <v>3700</v>
      </c>
      <c r="AT17" s="312"/>
      <c r="AU17" s="312"/>
      <c r="AV17" s="304">
        <f>AV18</f>
        <v>0</v>
      </c>
      <c r="AW17" s="304">
        <f t="shared" si="8"/>
        <v>3700</v>
      </c>
      <c r="AX17" s="304">
        <f t="shared" si="9"/>
        <v>3700</v>
      </c>
      <c r="AY17" s="332"/>
      <c r="AZ17" s="332"/>
      <c r="BA17" s="332"/>
      <c r="BB17" s="332"/>
      <c r="BC17" s="332"/>
      <c r="BD17" s="332"/>
      <c r="BE17" s="332"/>
    </row>
    <row r="18" spans="1:57" s="334" customFormat="1" ht="15" customHeight="1">
      <c r="A18" s="294"/>
      <c r="B18" s="336"/>
      <c r="C18" s="337"/>
      <c r="D18" s="338" t="s">
        <v>198</v>
      </c>
      <c r="E18" s="326"/>
      <c r="F18" s="327"/>
      <c r="G18" s="328"/>
      <c r="H18" s="329"/>
      <c r="I18" s="327"/>
      <c r="J18" s="330"/>
      <c r="K18" s="312"/>
      <c r="L18" s="312"/>
      <c r="M18" s="312"/>
      <c r="N18" s="331"/>
      <c r="O18" s="331"/>
      <c r="P18" s="331"/>
      <c r="Q18" s="331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39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>
        <v>3700</v>
      </c>
      <c r="AT18" s="312"/>
      <c r="AU18" s="312"/>
      <c r="AV18" s="312">
        <v>0</v>
      </c>
      <c r="AW18" s="304">
        <f t="shared" si="8"/>
        <v>3700</v>
      </c>
      <c r="AX18" s="304">
        <f t="shared" si="9"/>
        <v>3700</v>
      </c>
      <c r="AY18" s="332"/>
      <c r="AZ18" s="332"/>
      <c r="BA18" s="332"/>
      <c r="BB18" s="332"/>
      <c r="BC18" s="332"/>
      <c r="BD18" s="332"/>
      <c r="BE18" s="332"/>
    </row>
    <row r="19" spans="1:57" s="334" customFormat="1" ht="28.5" customHeight="1">
      <c r="A19" s="294"/>
      <c r="B19" s="335"/>
      <c r="C19" s="324">
        <v>345</v>
      </c>
      <c r="D19" s="340" t="s">
        <v>115</v>
      </c>
      <c r="E19" s="326"/>
      <c r="F19" s="327"/>
      <c r="G19" s="328"/>
      <c r="H19" s="329"/>
      <c r="I19" s="327"/>
      <c r="J19" s="330"/>
      <c r="K19" s="312"/>
      <c r="L19" s="312"/>
      <c r="M19" s="312"/>
      <c r="N19" s="331"/>
      <c r="O19" s="331"/>
      <c r="P19" s="331"/>
      <c r="Q19" s="331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3" t="s">
        <v>78</v>
      </c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04">
        <f>AS20</f>
        <v>57600</v>
      </c>
      <c r="AT19" s="304">
        <f t="shared" ref="AT19:AU19" si="12">AT20</f>
        <v>0</v>
      </c>
      <c r="AU19" s="304">
        <f t="shared" si="12"/>
        <v>0</v>
      </c>
      <c r="AV19" s="304">
        <f>AV20</f>
        <v>0</v>
      </c>
      <c r="AW19" s="304">
        <f t="shared" si="8"/>
        <v>57600</v>
      </c>
      <c r="AX19" s="304">
        <f t="shared" si="9"/>
        <v>57600</v>
      </c>
      <c r="AY19" s="332"/>
      <c r="AZ19" s="332"/>
      <c r="BA19" s="332"/>
      <c r="BB19" s="332"/>
      <c r="BC19" s="332"/>
      <c r="BD19" s="332"/>
      <c r="BE19" s="332"/>
    </row>
    <row r="20" spans="1:57" s="334" customFormat="1" ht="14.25" customHeight="1">
      <c r="A20" s="294"/>
      <c r="B20" s="335"/>
      <c r="C20" s="324"/>
      <c r="D20" s="338" t="s">
        <v>199</v>
      </c>
      <c r="E20" s="326"/>
      <c r="F20" s="327"/>
      <c r="G20" s="328"/>
      <c r="H20" s="329"/>
      <c r="I20" s="327"/>
      <c r="J20" s="330"/>
      <c r="K20" s="312"/>
      <c r="L20" s="312"/>
      <c r="M20" s="312"/>
      <c r="N20" s="331"/>
      <c r="O20" s="331"/>
      <c r="P20" s="331"/>
      <c r="Q20" s="331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39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>
        <v>57600</v>
      </c>
      <c r="AT20" s="312"/>
      <c r="AU20" s="312"/>
      <c r="AV20" s="312">
        <v>0</v>
      </c>
      <c r="AW20" s="304">
        <f t="shared" si="8"/>
        <v>57600</v>
      </c>
      <c r="AX20" s="304">
        <f t="shared" si="9"/>
        <v>57600</v>
      </c>
      <c r="AY20" s="332"/>
      <c r="AZ20" s="332"/>
      <c r="BA20" s="332"/>
      <c r="BB20" s="332"/>
      <c r="BC20" s="332"/>
      <c r="BD20" s="332"/>
      <c r="BE20" s="332"/>
    </row>
    <row r="21" spans="1:57" s="334" customFormat="1">
      <c r="A21" s="294"/>
      <c r="B21" s="341"/>
      <c r="C21" s="324">
        <v>346</v>
      </c>
      <c r="D21" s="325" t="s">
        <v>200</v>
      </c>
      <c r="E21" s="326"/>
      <c r="F21" s="327"/>
      <c r="G21" s="328"/>
      <c r="H21" s="329"/>
      <c r="I21" s="327"/>
      <c r="J21" s="330"/>
      <c r="K21" s="312"/>
      <c r="L21" s="312"/>
      <c r="M21" s="312"/>
      <c r="N21" s="331"/>
      <c r="O21" s="331"/>
      <c r="P21" s="331"/>
      <c r="Q21" s="331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3" t="s">
        <v>78</v>
      </c>
      <c r="AG21" s="312"/>
      <c r="AH21" s="304"/>
      <c r="AI21" s="304"/>
      <c r="AJ21" s="304"/>
      <c r="AK21" s="304"/>
      <c r="AL21" s="304"/>
      <c r="AM21" s="304"/>
      <c r="AN21" s="304"/>
      <c r="AO21" s="304"/>
      <c r="AP21" s="304"/>
      <c r="AQ21" s="304"/>
      <c r="AR21" s="304"/>
      <c r="AS21" s="304">
        <f>AS22+AS23+AS24+AS25+AS26+AS27+AS28+AS29+AS30</f>
        <v>43807.83</v>
      </c>
      <c r="AT21" s="304">
        <f t="shared" ref="AT21:AU21" si="13">AT22+AT23+AT24+AT25+AT26+AT27+AT28+AT29+AT30</f>
        <v>0</v>
      </c>
      <c r="AU21" s="304">
        <f t="shared" si="13"/>
        <v>0</v>
      </c>
      <c r="AV21" s="304">
        <f>AV22+AV23+AV24+AV25+AV26+AV27+AV28+AV29+AV30</f>
        <v>0</v>
      </c>
      <c r="AW21" s="304">
        <f t="shared" si="8"/>
        <v>43807.83</v>
      </c>
      <c r="AX21" s="304">
        <f t="shared" si="9"/>
        <v>43807.83</v>
      </c>
      <c r="AY21" s="332"/>
      <c r="AZ21" s="332"/>
      <c r="BA21" s="332"/>
      <c r="BB21" s="332"/>
      <c r="BC21" s="332"/>
      <c r="BD21" s="332"/>
      <c r="BE21" s="332"/>
    </row>
    <row r="22" spans="1:57" s="334" customFormat="1">
      <c r="A22" s="294"/>
      <c r="B22" s="342"/>
      <c r="C22" s="324"/>
      <c r="D22" s="338" t="s">
        <v>201</v>
      </c>
      <c r="E22" s="326"/>
      <c r="F22" s="327"/>
      <c r="G22" s="328"/>
      <c r="H22" s="329"/>
      <c r="I22" s="327"/>
      <c r="J22" s="330"/>
      <c r="K22" s="312"/>
      <c r="L22" s="312"/>
      <c r="M22" s="312"/>
      <c r="N22" s="331"/>
      <c r="O22" s="331"/>
      <c r="P22" s="331"/>
      <c r="Q22" s="331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3"/>
      <c r="AG22" s="312"/>
      <c r="AH22" s="304"/>
      <c r="AI22" s="304"/>
      <c r="AJ22" s="304"/>
      <c r="AK22" s="304"/>
      <c r="AL22" s="304"/>
      <c r="AM22" s="304"/>
      <c r="AN22" s="304"/>
      <c r="AO22" s="304"/>
      <c r="AP22" s="304"/>
      <c r="AQ22" s="304"/>
      <c r="AR22" s="304"/>
      <c r="AS22" s="312">
        <v>2100</v>
      </c>
      <c r="AT22" s="312"/>
      <c r="AU22" s="312"/>
      <c r="AV22" s="312">
        <v>0</v>
      </c>
      <c r="AW22" s="304">
        <f t="shared" si="8"/>
        <v>2100</v>
      </c>
      <c r="AX22" s="304">
        <f t="shared" si="9"/>
        <v>2100</v>
      </c>
      <c r="AY22" s="332"/>
      <c r="AZ22" s="332"/>
      <c r="BA22" s="332"/>
      <c r="BB22" s="332"/>
      <c r="BC22" s="332"/>
      <c r="BD22" s="332"/>
      <c r="BE22" s="332"/>
    </row>
    <row r="23" spans="1:57" s="334" customFormat="1">
      <c r="A23" s="294"/>
      <c r="B23" s="342"/>
      <c r="C23" s="324"/>
      <c r="D23" s="338" t="s">
        <v>202</v>
      </c>
      <c r="E23" s="326"/>
      <c r="F23" s="327"/>
      <c r="G23" s="328"/>
      <c r="H23" s="329"/>
      <c r="I23" s="327"/>
      <c r="J23" s="330"/>
      <c r="K23" s="312"/>
      <c r="L23" s="312"/>
      <c r="M23" s="312"/>
      <c r="N23" s="331"/>
      <c r="O23" s="331"/>
      <c r="P23" s="331"/>
      <c r="Q23" s="331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3"/>
      <c r="AG23" s="312"/>
      <c r="AH23" s="304"/>
      <c r="AI23" s="304"/>
      <c r="AJ23" s="304"/>
      <c r="AK23" s="304"/>
      <c r="AL23" s="304"/>
      <c r="AM23" s="304"/>
      <c r="AN23" s="304"/>
      <c r="AO23" s="304"/>
      <c r="AP23" s="304"/>
      <c r="AQ23" s="304"/>
      <c r="AR23" s="304"/>
      <c r="AS23" s="312">
        <v>15070</v>
      </c>
      <c r="AT23" s="312"/>
      <c r="AU23" s="312"/>
      <c r="AV23" s="312">
        <v>0</v>
      </c>
      <c r="AW23" s="304">
        <f t="shared" si="8"/>
        <v>15070</v>
      </c>
      <c r="AX23" s="304">
        <f t="shared" si="9"/>
        <v>15070</v>
      </c>
      <c r="AY23" s="332"/>
      <c r="AZ23" s="332"/>
      <c r="BA23" s="332"/>
      <c r="BB23" s="332"/>
      <c r="BC23" s="332"/>
      <c r="BD23" s="332"/>
      <c r="BE23" s="332"/>
    </row>
    <row r="24" spans="1:57" s="334" customFormat="1">
      <c r="A24" s="294"/>
      <c r="B24" s="343"/>
      <c r="C24" s="337"/>
      <c r="D24" s="338" t="s">
        <v>203</v>
      </c>
      <c r="E24" s="326"/>
      <c r="F24" s="327"/>
      <c r="G24" s="328"/>
      <c r="H24" s="329"/>
      <c r="I24" s="327"/>
      <c r="J24" s="330"/>
      <c r="K24" s="312"/>
      <c r="L24" s="312"/>
      <c r="M24" s="312"/>
      <c r="N24" s="331"/>
      <c r="O24" s="331"/>
      <c r="P24" s="331"/>
      <c r="Q24" s="331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39"/>
      <c r="AG24" s="312"/>
      <c r="AH24" s="304"/>
      <c r="AI24" s="304"/>
      <c r="AJ24" s="304"/>
      <c r="AK24" s="304"/>
      <c r="AL24" s="304"/>
      <c r="AM24" s="304"/>
      <c r="AN24" s="304"/>
      <c r="AO24" s="304"/>
      <c r="AP24" s="304"/>
      <c r="AQ24" s="304"/>
      <c r="AR24" s="304"/>
      <c r="AS24" s="312">
        <v>1400</v>
      </c>
      <c r="AT24" s="312"/>
      <c r="AU24" s="312"/>
      <c r="AV24" s="312">
        <v>0</v>
      </c>
      <c r="AW24" s="304">
        <f t="shared" si="8"/>
        <v>1400</v>
      </c>
      <c r="AX24" s="304">
        <f t="shared" si="9"/>
        <v>1400</v>
      </c>
      <c r="AY24" s="332"/>
      <c r="AZ24" s="332"/>
      <c r="BA24" s="332"/>
      <c r="BB24" s="332"/>
      <c r="BC24" s="332"/>
      <c r="BD24" s="332"/>
      <c r="BE24" s="332"/>
    </row>
    <row r="25" spans="1:57" s="334" customFormat="1">
      <c r="A25" s="294"/>
      <c r="B25" s="335"/>
      <c r="C25" s="337"/>
      <c r="D25" s="338" t="s">
        <v>204</v>
      </c>
      <c r="E25" s="326"/>
      <c r="F25" s="327"/>
      <c r="G25" s="328"/>
      <c r="H25" s="329"/>
      <c r="I25" s="327"/>
      <c r="J25" s="330"/>
      <c r="K25" s="312"/>
      <c r="L25" s="312"/>
      <c r="M25" s="312"/>
      <c r="N25" s="331"/>
      <c r="O25" s="331"/>
      <c r="P25" s="331"/>
      <c r="Q25" s="331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39"/>
      <c r="AG25" s="312"/>
      <c r="AH25" s="304"/>
      <c r="AI25" s="304"/>
      <c r="AJ25" s="304"/>
      <c r="AK25" s="304"/>
      <c r="AL25" s="304"/>
      <c r="AM25" s="304"/>
      <c r="AN25" s="304"/>
      <c r="AO25" s="304"/>
      <c r="AP25" s="304"/>
      <c r="AQ25" s="304"/>
      <c r="AR25" s="304"/>
      <c r="AS25" s="312">
        <v>440</v>
      </c>
      <c r="AT25" s="312"/>
      <c r="AU25" s="312"/>
      <c r="AV25" s="312">
        <v>0</v>
      </c>
      <c r="AW25" s="304">
        <f t="shared" si="8"/>
        <v>440</v>
      </c>
      <c r="AX25" s="304">
        <f t="shared" si="9"/>
        <v>440</v>
      </c>
      <c r="AY25" s="332"/>
      <c r="AZ25" s="332"/>
      <c r="BA25" s="332"/>
      <c r="BB25" s="332"/>
      <c r="BC25" s="332"/>
      <c r="BD25" s="332"/>
      <c r="BE25" s="332"/>
    </row>
    <row r="26" spans="1:57" s="334" customFormat="1">
      <c r="A26" s="294"/>
      <c r="B26" s="335"/>
      <c r="C26" s="337"/>
      <c r="D26" s="338" t="s">
        <v>205</v>
      </c>
      <c r="E26" s="326"/>
      <c r="F26" s="327"/>
      <c r="G26" s="328"/>
      <c r="H26" s="329"/>
      <c r="I26" s="327"/>
      <c r="J26" s="330"/>
      <c r="K26" s="312"/>
      <c r="L26" s="312"/>
      <c r="M26" s="312"/>
      <c r="N26" s="331"/>
      <c r="O26" s="331"/>
      <c r="P26" s="331"/>
      <c r="Q26" s="331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39"/>
      <c r="AG26" s="312"/>
      <c r="AH26" s="304"/>
      <c r="AI26" s="304"/>
      <c r="AJ26" s="304"/>
      <c r="AK26" s="304"/>
      <c r="AL26" s="304"/>
      <c r="AM26" s="304"/>
      <c r="AN26" s="304"/>
      <c r="AO26" s="304"/>
      <c r="AP26" s="304"/>
      <c r="AQ26" s="304"/>
      <c r="AR26" s="304"/>
      <c r="AS26" s="312">
        <v>600</v>
      </c>
      <c r="AT26" s="312"/>
      <c r="AU26" s="312"/>
      <c r="AV26" s="312">
        <v>0</v>
      </c>
      <c r="AW26" s="304">
        <f t="shared" si="8"/>
        <v>600</v>
      </c>
      <c r="AX26" s="304">
        <f t="shared" si="9"/>
        <v>600</v>
      </c>
      <c r="AY26" s="332"/>
      <c r="AZ26" s="332"/>
      <c r="BA26" s="332"/>
      <c r="BB26" s="332"/>
      <c r="BC26" s="332"/>
      <c r="BD26" s="332"/>
      <c r="BE26" s="332"/>
    </row>
    <row r="27" spans="1:57" s="334" customFormat="1" ht="11.25" customHeight="1">
      <c r="A27" s="294"/>
      <c r="B27" s="335"/>
      <c r="C27" s="337"/>
      <c r="D27" s="338" t="s">
        <v>206</v>
      </c>
      <c r="E27" s="326"/>
      <c r="F27" s="327"/>
      <c r="G27" s="328"/>
      <c r="H27" s="329"/>
      <c r="I27" s="327"/>
      <c r="J27" s="330"/>
      <c r="K27" s="312"/>
      <c r="L27" s="312"/>
      <c r="M27" s="312"/>
      <c r="N27" s="331"/>
      <c r="O27" s="331"/>
      <c r="P27" s="331"/>
      <c r="Q27" s="331"/>
      <c r="R27" s="312"/>
      <c r="S27" s="312"/>
      <c r="T27" s="312"/>
      <c r="U27" s="312"/>
      <c r="V27" s="312"/>
      <c r="W27" s="312"/>
      <c r="X27" s="312"/>
      <c r="Y27" s="312"/>
      <c r="Z27" s="312"/>
      <c r="AA27" s="312"/>
      <c r="AB27" s="312"/>
      <c r="AC27" s="312"/>
      <c r="AD27" s="312"/>
      <c r="AE27" s="312"/>
      <c r="AF27" s="339"/>
      <c r="AG27" s="312"/>
      <c r="AH27" s="304"/>
      <c r="AI27" s="304"/>
      <c r="AJ27" s="304"/>
      <c r="AK27" s="304"/>
      <c r="AL27" s="304"/>
      <c r="AM27" s="304"/>
      <c r="AN27" s="304"/>
      <c r="AO27" s="304"/>
      <c r="AP27" s="304"/>
      <c r="AQ27" s="304"/>
      <c r="AR27" s="304"/>
      <c r="AS27" s="312">
        <v>1779.83</v>
      </c>
      <c r="AT27" s="312"/>
      <c r="AU27" s="312"/>
      <c r="AV27" s="312">
        <v>0</v>
      </c>
      <c r="AW27" s="304">
        <f t="shared" si="8"/>
        <v>1779.83</v>
      </c>
      <c r="AX27" s="304">
        <f t="shared" si="9"/>
        <v>1779.83</v>
      </c>
      <c r="AY27" s="332"/>
      <c r="AZ27" s="332"/>
      <c r="BA27" s="332"/>
      <c r="BB27" s="332"/>
      <c r="BC27" s="332"/>
      <c r="BD27" s="332"/>
      <c r="BE27" s="332"/>
    </row>
    <row r="28" spans="1:57" s="334" customFormat="1" ht="11.25" customHeight="1">
      <c r="A28" s="294"/>
      <c r="B28" s="335"/>
      <c r="C28" s="337"/>
      <c r="D28" s="338" t="s">
        <v>207</v>
      </c>
      <c r="E28" s="326"/>
      <c r="F28" s="327"/>
      <c r="G28" s="328"/>
      <c r="H28" s="329"/>
      <c r="I28" s="327"/>
      <c r="J28" s="330"/>
      <c r="K28" s="312"/>
      <c r="L28" s="312"/>
      <c r="M28" s="312"/>
      <c r="N28" s="331"/>
      <c r="O28" s="331"/>
      <c r="P28" s="331"/>
      <c r="Q28" s="331"/>
      <c r="R28" s="312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39"/>
      <c r="AG28" s="312"/>
      <c r="AH28" s="304"/>
      <c r="AI28" s="304"/>
      <c r="AJ28" s="304"/>
      <c r="AK28" s="304"/>
      <c r="AL28" s="304"/>
      <c r="AM28" s="304"/>
      <c r="AN28" s="304"/>
      <c r="AO28" s="304"/>
      <c r="AP28" s="304"/>
      <c r="AQ28" s="304"/>
      <c r="AR28" s="304"/>
      <c r="AS28" s="312">
        <v>800</v>
      </c>
      <c r="AT28" s="312"/>
      <c r="AU28" s="312"/>
      <c r="AV28" s="312">
        <v>0</v>
      </c>
      <c r="AW28" s="304">
        <f t="shared" si="8"/>
        <v>800</v>
      </c>
      <c r="AX28" s="304">
        <f t="shared" si="9"/>
        <v>800</v>
      </c>
      <c r="AY28" s="332"/>
      <c r="AZ28" s="332"/>
      <c r="BA28" s="332"/>
      <c r="BB28" s="332"/>
      <c r="BC28" s="332"/>
      <c r="BD28" s="332"/>
      <c r="BE28" s="332"/>
    </row>
    <row r="29" spans="1:57" s="334" customFormat="1" ht="24">
      <c r="A29" s="294"/>
      <c r="B29" s="335"/>
      <c r="C29" s="337"/>
      <c r="D29" s="338" t="s">
        <v>208</v>
      </c>
      <c r="E29" s="326"/>
      <c r="F29" s="327"/>
      <c r="G29" s="328"/>
      <c r="H29" s="329"/>
      <c r="I29" s="327"/>
      <c r="J29" s="330"/>
      <c r="K29" s="312"/>
      <c r="L29" s="312"/>
      <c r="M29" s="312"/>
      <c r="N29" s="331"/>
      <c r="O29" s="331"/>
      <c r="P29" s="331"/>
      <c r="Q29" s="331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39"/>
      <c r="AG29" s="312"/>
      <c r="AH29" s="304"/>
      <c r="AI29" s="304"/>
      <c r="AJ29" s="304"/>
      <c r="AK29" s="304"/>
      <c r="AL29" s="304"/>
      <c r="AM29" s="304"/>
      <c r="AN29" s="304"/>
      <c r="AO29" s="304"/>
      <c r="AP29" s="304"/>
      <c r="AQ29" s="304"/>
      <c r="AR29" s="304"/>
      <c r="AS29" s="312">
        <v>17250</v>
      </c>
      <c r="AT29" s="312"/>
      <c r="AU29" s="312"/>
      <c r="AV29" s="312">
        <v>0</v>
      </c>
      <c r="AW29" s="304">
        <f t="shared" si="8"/>
        <v>17250</v>
      </c>
      <c r="AX29" s="304">
        <f t="shared" si="9"/>
        <v>17250</v>
      </c>
      <c r="AY29" s="332"/>
      <c r="AZ29" s="332"/>
      <c r="BA29" s="332"/>
      <c r="BB29" s="332"/>
      <c r="BC29" s="332"/>
      <c r="BD29" s="332"/>
      <c r="BE29" s="332"/>
    </row>
    <row r="30" spans="1:57" s="334" customFormat="1">
      <c r="A30" s="294"/>
      <c r="B30" s="335"/>
      <c r="C30" s="337"/>
      <c r="D30" s="338" t="s">
        <v>209</v>
      </c>
      <c r="E30" s="326"/>
      <c r="F30" s="327"/>
      <c r="G30" s="328"/>
      <c r="H30" s="329"/>
      <c r="I30" s="327"/>
      <c r="J30" s="330"/>
      <c r="K30" s="312"/>
      <c r="L30" s="312"/>
      <c r="M30" s="312"/>
      <c r="N30" s="331"/>
      <c r="O30" s="331"/>
      <c r="P30" s="331"/>
      <c r="Q30" s="331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39"/>
      <c r="AG30" s="312"/>
      <c r="AH30" s="304"/>
      <c r="AI30" s="304"/>
      <c r="AJ30" s="304"/>
      <c r="AK30" s="304"/>
      <c r="AL30" s="304"/>
      <c r="AM30" s="304"/>
      <c r="AN30" s="304"/>
      <c r="AO30" s="304"/>
      <c r="AP30" s="304"/>
      <c r="AQ30" s="304"/>
      <c r="AR30" s="304"/>
      <c r="AS30" s="312">
        <v>4368</v>
      </c>
      <c r="AT30" s="312"/>
      <c r="AU30" s="312"/>
      <c r="AV30" s="312">
        <v>0</v>
      </c>
      <c r="AW30" s="304">
        <f t="shared" si="8"/>
        <v>4368</v>
      </c>
      <c r="AX30" s="304">
        <f t="shared" si="9"/>
        <v>4368</v>
      </c>
      <c r="AY30" s="332"/>
      <c r="AZ30" s="332"/>
      <c r="BA30" s="332"/>
      <c r="BB30" s="332"/>
      <c r="BC30" s="332"/>
      <c r="BD30" s="332"/>
      <c r="BE30" s="332"/>
    </row>
    <row r="31" spans="1:57" s="334" customFormat="1" ht="48">
      <c r="A31" s="294"/>
      <c r="B31" s="343"/>
      <c r="C31" s="324">
        <v>349</v>
      </c>
      <c r="D31" s="325" t="s">
        <v>210</v>
      </c>
      <c r="E31" s="326"/>
      <c r="F31" s="327"/>
      <c r="G31" s="328"/>
      <c r="H31" s="329"/>
      <c r="I31" s="327"/>
      <c r="J31" s="330"/>
      <c r="K31" s="312"/>
      <c r="L31" s="312"/>
      <c r="M31" s="312"/>
      <c r="N31" s="331"/>
      <c r="O31" s="331"/>
      <c r="P31" s="331"/>
      <c r="Q31" s="331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3" t="s">
        <v>78</v>
      </c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04">
        <f>AS32</f>
        <v>5700</v>
      </c>
      <c r="AT31" s="304"/>
      <c r="AU31" s="304"/>
      <c r="AV31" s="304">
        <f>AV32</f>
        <v>0</v>
      </c>
      <c r="AW31" s="304">
        <f t="shared" si="8"/>
        <v>5700</v>
      </c>
      <c r="AX31" s="304">
        <f t="shared" si="9"/>
        <v>5700</v>
      </c>
      <c r="AY31" s="332"/>
      <c r="AZ31" s="332"/>
      <c r="BA31" s="332"/>
      <c r="BB31" s="332"/>
      <c r="BC31" s="332"/>
      <c r="BD31" s="332"/>
      <c r="BE31" s="332"/>
    </row>
    <row r="32" spans="1:57" s="334" customFormat="1" ht="24">
      <c r="A32" s="294"/>
      <c r="B32" s="344"/>
      <c r="C32" s="296"/>
      <c r="D32" s="345" t="s">
        <v>211</v>
      </c>
      <c r="E32" s="346"/>
      <c r="F32" s="347"/>
      <c r="G32" s="348"/>
      <c r="H32" s="349"/>
      <c r="I32" s="347"/>
      <c r="J32" s="350"/>
      <c r="K32" s="351"/>
      <c r="L32" s="351"/>
      <c r="M32" s="351"/>
      <c r="N32" s="352"/>
      <c r="O32" s="352"/>
      <c r="P32" s="352"/>
      <c r="Q32" s="352"/>
      <c r="R32" s="351"/>
      <c r="S32" s="351"/>
      <c r="T32" s="351"/>
      <c r="U32" s="351"/>
      <c r="V32" s="351"/>
      <c r="W32" s="351"/>
      <c r="X32" s="351"/>
      <c r="Y32" s="351"/>
      <c r="Z32" s="351"/>
      <c r="AA32" s="351"/>
      <c r="AB32" s="351"/>
      <c r="AC32" s="351"/>
      <c r="AD32" s="351"/>
      <c r="AE32" s="351"/>
      <c r="AF32" s="353"/>
      <c r="AG32" s="351"/>
      <c r="AH32" s="351"/>
      <c r="AI32" s="351"/>
      <c r="AJ32" s="351"/>
      <c r="AK32" s="351"/>
      <c r="AL32" s="351"/>
      <c r="AM32" s="351"/>
      <c r="AN32" s="351"/>
      <c r="AO32" s="351"/>
      <c r="AP32" s="351"/>
      <c r="AQ32" s="351"/>
      <c r="AR32" s="351"/>
      <c r="AS32" s="290">
        <v>5700</v>
      </c>
      <c r="AT32" s="290"/>
      <c r="AU32" s="290"/>
      <c r="AV32" s="312">
        <v>0</v>
      </c>
      <c r="AW32" s="304">
        <f t="shared" si="8"/>
        <v>5700</v>
      </c>
      <c r="AX32" s="304">
        <f t="shared" si="9"/>
        <v>5700</v>
      </c>
      <c r="AY32" s="332"/>
      <c r="AZ32" s="332"/>
      <c r="BA32" s="332"/>
      <c r="BB32" s="332"/>
      <c r="BC32" s="332"/>
      <c r="BD32" s="332"/>
      <c r="BE32" s="332"/>
    </row>
    <row r="33" spans="1:57" s="334" customFormat="1">
      <c r="A33" s="294"/>
      <c r="B33" s="546" t="s">
        <v>11</v>
      </c>
      <c r="C33" s="547"/>
      <c r="D33" s="547"/>
      <c r="E33" s="354"/>
      <c r="F33" s="355"/>
      <c r="G33" s="356"/>
      <c r="H33" s="357"/>
      <c r="I33" s="355"/>
      <c r="J33" s="358"/>
      <c r="K33" s="321"/>
      <c r="L33" s="321"/>
      <c r="M33" s="321"/>
      <c r="N33" s="359"/>
      <c r="O33" s="359"/>
      <c r="P33" s="359"/>
      <c r="Q33" s="359"/>
      <c r="R33" s="321"/>
      <c r="S33" s="321"/>
      <c r="T33" s="321"/>
      <c r="U33" s="321"/>
      <c r="V33" s="321"/>
      <c r="W33" s="321"/>
      <c r="X33" s="321"/>
      <c r="Y33" s="321"/>
      <c r="Z33" s="321"/>
      <c r="AA33" s="321"/>
      <c r="AB33" s="321"/>
      <c r="AC33" s="321"/>
      <c r="AD33" s="321"/>
      <c r="AE33" s="321"/>
      <c r="AF33" s="360"/>
      <c r="AG33" s="321"/>
      <c r="AH33" s="319" t="e">
        <f>AH15+AH16+#REF!+#REF!</f>
        <v>#REF!</v>
      </c>
      <c r="AI33" s="319" t="e">
        <f>#REF!+#REF!+#REF!+AI16+AI15</f>
        <v>#REF!</v>
      </c>
      <c r="AJ33" s="319" t="e">
        <f>#REF!+#REF!+#REF!+AJ16+AJ15</f>
        <v>#REF!</v>
      </c>
      <c r="AK33" s="319" t="e">
        <f>#REF!+#REF!+#REF!+AK16+AK15+#REF!</f>
        <v>#REF!</v>
      </c>
      <c r="AL33" s="319"/>
      <c r="AM33" s="319" t="e">
        <f>#REF!+#REF!+#REF!+AM16+AM15+#REF!</f>
        <v>#REF!</v>
      </c>
      <c r="AN33" s="319" t="e">
        <f>#REF!+#REF!+#REF!+AN16+AN15+#REF!</f>
        <v>#REF!</v>
      </c>
      <c r="AO33" s="319"/>
      <c r="AP33" s="319"/>
      <c r="AQ33" s="319"/>
      <c r="AR33" s="319"/>
      <c r="AS33" s="319">
        <f>AS15+AS16+AS17+AS19+AS21+AS31</f>
        <v>600000</v>
      </c>
      <c r="AT33" s="319">
        <f t="shared" ref="AT33:AV33" si="14">AT15+AT16+AT17+AT19+AT21+AT31</f>
        <v>604849.15999999992</v>
      </c>
      <c r="AU33" s="319">
        <f t="shared" si="14"/>
        <v>604849.15999999992</v>
      </c>
      <c r="AV33" s="319">
        <f t="shared" si="14"/>
        <v>0</v>
      </c>
      <c r="AW33" s="319">
        <f t="shared" si="8"/>
        <v>600000</v>
      </c>
      <c r="AX33" s="319">
        <f t="shared" si="9"/>
        <v>600000</v>
      </c>
      <c r="AY33" s="332"/>
      <c r="AZ33" s="332"/>
      <c r="BA33" s="332"/>
      <c r="BB33" s="332"/>
      <c r="BC33" s="332"/>
      <c r="BD33" s="332"/>
      <c r="BE33" s="332"/>
    </row>
    <row r="34" spans="1:57" s="334" customFormat="1" ht="12.75">
      <c r="A34" s="294"/>
      <c r="B34" s="295" t="s">
        <v>212</v>
      </c>
      <c r="C34" s="296">
        <v>211</v>
      </c>
      <c r="D34" s="361" t="s">
        <v>3</v>
      </c>
      <c r="E34" s="470"/>
      <c r="F34" s="362"/>
      <c r="G34" s="363"/>
      <c r="H34" s="364"/>
      <c r="I34" s="362"/>
      <c r="J34" s="365"/>
      <c r="K34" s="290"/>
      <c r="L34" s="290"/>
      <c r="M34" s="290"/>
      <c r="N34" s="366"/>
      <c r="O34" s="366"/>
      <c r="P34" s="366"/>
      <c r="Q34" s="366"/>
      <c r="R34" s="290"/>
      <c r="S34" s="290"/>
      <c r="T34" s="290"/>
      <c r="U34" s="290"/>
      <c r="V34" s="290"/>
      <c r="W34" s="290"/>
      <c r="X34" s="290"/>
      <c r="Y34" s="290"/>
      <c r="Z34" s="290"/>
      <c r="AA34" s="290"/>
      <c r="AB34" s="290"/>
      <c r="AC34" s="290"/>
      <c r="AD34" s="290"/>
      <c r="AE34" s="290"/>
      <c r="AF34" s="303" t="s">
        <v>79</v>
      </c>
      <c r="AG34" s="290"/>
      <c r="AH34" s="471">
        <v>825885.48</v>
      </c>
      <c r="AI34" s="471">
        <v>825885.48</v>
      </c>
      <c r="AJ34" s="471">
        <v>160497.45000000001</v>
      </c>
      <c r="AK34" s="471">
        <f>AI34+AJ34</f>
        <v>986382.92999999993</v>
      </c>
      <c r="AL34" s="471"/>
      <c r="AM34" s="471">
        <v>752491.3</v>
      </c>
      <c r="AN34" s="471">
        <f>AS34-AM34</f>
        <v>112172.02999999991</v>
      </c>
      <c r="AO34" s="471"/>
      <c r="AP34" s="471"/>
      <c r="AQ34" s="471"/>
      <c r="AR34" s="471"/>
      <c r="AS34" s="471">
        <v>864663.33</v>
      </c>
      <c r="AT34" s="471">
        <v>752491.3</v>
      </c>
      <c r="AU34" s="471">
        <v>752491.3</v>
      </c>
      <c r="AV34" s="304">
        <v>0</v>
      </c>
      <c r="AW34" s="304">
        <f t="shared" si="8"/>
        <v>864663.33</v>
      </c>
      <c r="AX34" s="304">
        <f t="shared" si="9"/>
        <v>864663.33</v>
      </c>
      <c r="AY34" s="332"/>
      <c r="AZ34" s="332"/>
      <c r="BA34" s="332"/>
      <c r="BB34" s="332"/>
      <c r="BC34" s="332"/>
      <c r="BD34" s="332"/>
      <c r="BE34" s="332"/>
    </row>
    <row r="35" spans="1:57" s="334" customFormat="1" ht="24">
      <c r="A35" s="294"/>
      <c r="B35" s="367">
        <v>150</v>
      </c>
      <c r="C35" s="296">
        <v>213</v>
      </c>
      <c r="D35" s="361" t="s">
        <v>4</v>
      </c>
      <c r="E35" s="470"/>
      <c r="F35" s="362"/>
      <c r="G35" s="363"/>
      <c r="H35" s="364"/>
      <c r="I35" s="362"/>
      <c r="J35" s="365"/>
      <c r="K35" s="290"/>
      <c r="L35" s="290"/>
      <c r="M35" s="290"/>
      <c r="N35" s="366"/>
      <c r="O35" s="366"/>
      <c r="P35" s="366"/>
      <c r="Q35" s="366"/>
      <c r="R35" s="290"/>
      <c r="S35" s="290"/>
      <c r="T35" s="290"/>
      <c r="U35" s="290"/>
      <c r="V35" s="290"/>
      <c r="W35" s="290"/>
      <c r="X35" s="290"/>
      <c r="Y35" s="290"/>
      <c r="Z35" s="290"/>
      <c r="AA35" s="290"/>
      <c r="AB35" s="290"/>
      <c r="AC35" s="290"/>
      <c r="AD35" s="290"/>
      <c r="AE35" s="290"/>
      <c r="AF35" s="303" t="s">
        <v>80</v>
      </c>
      <c r="AG35" s="290"/>
      <c r="AH35" s="471">
        <v>249417.42</v>
      </c>
      <c r="AI35" s="471">
        <v>249417.42</v>
      </c>
      <c r="AJ35" s="471">
        <v>48443.33</v>
      </c>
      <c r="AK35" s="471">
        <f t="shared" ref="AK35" si="15">AI35+AJ35</f>
        <v>297860.75</v>
      </c>
      <c r="AL35" s="471"/>
      <c r="AM35" s="471">
        <v>227252.38</v>
      </c>
      <c r="AN35" s="471">
        <f>AS35-AM35</f>
        <v>33876.229999999981</v>
      </c>
      <c r="AO35" s="471"/>
      <c r="AP35" s="471"/>
      <c r="AQ35" s="471"/>
      <c r="AR35" s="471"/>
      <c r="AS35" s="471">
        <v>261128.61</v>
      </c>
      <c r="AT35" s="471">
        <v>227252.38</v>
      </c>
      <c r="AU35" s="471">
        <v>227252.38</v>
      </c>
      <c r="AV35" s="304">
        <v>0</v>
      </c>
      <c r="AW35" s="304">
        <f t="shared" si="8"/>
        <v>261128.61</v>
      </c>
      <c r="AX35" s="304">
        <f t="shared" si="9"/>
        <v>261128.61</v>
      </c>
      <c r="AY35" s="332"/>
      <c r="AZ35" s="332"/>
      <c r="BA35" s="390"/>
      <c r="BB35" s="429"/>
      <c r="BC35" s="428"/>
      <c r="BD35" s="332"/>
      <c r="BE35" s="332"/>
    </row>
    <row r="36" spans="1:57" s="334" customFormat="1">
      <c r="A36" s="294"/>
      <c r="B36" s="367"/>
      <c r="C36" s="296">
        <v>346</v>
      </c>
      <c r="D36" s="361" t="s">
        <v>192</v>
      </c>
      <c r="E36" s="470"/>
      <c r="F36" s="362"/>
      <c r="G36" s="363"/>
      <c r="H36" s="364"/>
      <c r="I36" s="362"/>
      <c r="J36" s="365"/>
      <c r="K36" s="290"/>
      <c r="L36" s="290"/>
      <c r="M36" s="290"/>
      <c r="N36" s="366"/>
      <c r="O36" s="366"/>
      <c r="P36" s="366"/>
      <c r="Q36" s="366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0"/>
      <c r="AC36" s="290"/>
      <c r="AD36" s="290"/>
      <c r="AE36" s="290"/>
      <c r="AF36" s="303" t="s">
        <v>78</v>
      </c>
      <c r="AG36" s="290"/>
      <c r="AH36" s="471"/>
      <c r="AI36" s="471"/>
      <c r="AJ36" s="471"/>
      <c r="AK36" s="471"/>
      <c r="AL36" s="471"/>
      <c r="AM36" s="471"/>
      <c r="AN36" s="471"/>
      <c r="AO36" s="471"/>
      <c r="AP36" s="471"/>
      <c r="AQ36" s="471"/>
      <c r="AR36" s="471"/>
      <c r="AS36" s="471">
        <f>AS37+AS44</f>
        <v>33611.54</v>
      </c>
      <c r="AT36" s="471" t="e">
        <f t="shared" ref="AT36:AU36" si="16">AT37+AT44</f>
        <v>#REF!</v>
      </c>
      <c r="AU36" s="471" t="e">
        <f t="shared" si="16"/>
        <v>#REF!</v>
      </c>
      <c r="AV36" s="304">
        <v>0</v>
      </c>
      <c r="AW36" s="304">
        <f t="shared" si="8"/>
        <v>33611.54</v>
      </c>
      <c r="AX36" s="304">
        <f t="shared" si="9"/>
        <v>33611.54</v>
      </c>
      <c r="AY36" s="332"/>
      <c r="AZ36" s="332"/>
      <c r="BA36" s="390"/>
      <c r="BB36" s="429"/>
      <c r="BC36" s="428"/>
      <c r="BD36" s="332"/>
      <c r="BE36" s="332"/>
    </row>
    <row r="37" spans="1:57" s="334" customFormat="1" ht="24.75" customHeight="1">
      <c r="A37" s="294"/>
      <c r="B37" s="344"/>
      <c r="C37" s="296"/>
      <c r="D37" s="361" t="s">
        <v>213</v>
      </c>
      <c r="E37" s="470"/>
      <c r="F37" s="362"/>
      <c r="G37" s="363"/>
      <c r="H37" s="364"/>
      <c r="I37" s="362"/>
      <c r="J37" s="365"/>
      <c r="K37" s="290"/>
      <c r="L37" s="290"/>
      <c r="M37" s="290"/>
      <c r="N37" s="366"/>
      <c r="O37" s="366"/>
      <c r="P37" s="366"/>
      <c r="Q37" s="366"/>
      <c r="R37" s="290"/>
      <c r="S37" s="290"/>
      <c r="T37" s="290"/>
      <c r="U37" s="290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303"/>
      <c r="AG37" s="290"/>
      <c r="AH37" s="471"/>
      <c r="AI37" s="471"/>
      <c r="AJ37" s="471"/>
      <c r="AK37" s="471"/>
      <c r="AL37" s="471"/>
      <c r="AM37" s="471"/>
      <c r="AN37" s="471"/>
      <c r="AO37" s="471"/>
      <c r="AP37" s="471"/>
      <c r="AQ37" s="471"/>
      <c r="AR37" s="471"/>
      <c r="AS37" s="304">
        <f>AS38+AS39+AS40+AS41+AS42+AS43</f>
        <v>20000</v>
      </c>
      <c r="AT37" s="304" t="e">
        <f>#REF!+#REF!+#REF!+AT38+AT39+AT40+AT41+AT42+AT43</f>
        <v>#REF!</v>
      </c>
      <c r="AU37" s="304" t="e">
        <f>#REF!+#REF!+#REF!+AU38+AU39+AU40+AU41+AU42+AU43</f>
        <v>#REF!</v>
      </c>
      <c r="AV37" s="304">
        <f>AV38+AV39+AV40+AV41+AV42+AV43</f>
        <v>0</v>
      </c>
      <c r="AW37" s="304">
        <f t="shared" si="8"/>
        <v>20000</v>
      </c>
      <c r="AX37" s="304">
        <f t="shared" si="9"/>
        <v>20000</v>
      </c>
      <c r="AY37" s="332"/>
      <c r="AZ37" s="332"/>
      <c r="BA37" s="332"/>
      <c r="BB37" s="332"/>
      <c r="BC37" s="332"/>
      <c r="BD37" s="332"/>
      <c r="BE37" s="332"/>
    </row>
    <row r="38" spans="1:57" s="334" customFormat="1" ht="24">
      <c r="A38" s="294"/>
      <c r="B38" s="344"/>
      <c r="C38" s="296"/>
      <c r="D38" s="338" t="s">
        <v>214</v>
      </c>
      <c r="E38" s="470"/>
      <c r="F38" s="362"/>
      <c r="G38" s="363"/>
      <c r="H38" s="364"/>
      <c r="I38" s="362"/>
      <c r="J38" s="365"/>
      <c r="K38" s="290"/>
      <c r="L38" s="290"/>
      <c r="M38" s="290"/>
      <c r="N38" s="366"/>
      <c r="O38" s="366"/>
      <c r="P38" s="366"/>
      <c r="Q38" s="366"/>
      <c r="R38" s="290"/>
      <c r="S38" s="290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303"/>
      <c r="AG38" s="290"/>
      <c r="AH38" s="471"/>
      <c r="AI38" s="471"/>
      <c r="AJ38" s="471"/>
      <c r="AK38" s="471"/>
      <c r="AL38" s="471"/>
      <c r="AM38" s="471"/>
      <c r="AN38" s="471"/>
      <c r="AO38" s="471"/>
      <c r="AP38" s="471"/>
      <c r="AQ38" s="471"/>
      <c r="AR38" s="471"/>
      <c r="AS38" s="290">
        <v>8400</v>
      </c>
      <c r="AT38" s="471"/>
      <c r="AU38" s="471"/>
      <c r="AV38" s="312">
        <v>0</v>
      </c>
      <c r="AW38" s="304">
        <f t="shared" si="8"/>
        <v>8400</v>
      </c>
      <c r="AX38" s="304">
        <f t="shared" si="9"/>
        <v>8400</v>
      </c>
      <c r="AY38" s="332"/>
      <c r="AZ38" s="332"/>
      <c r="BA38" s="332"/>
      <c r="BB38" s="332"/>
      <c r="BC38" s="332"/>
      <c r="BD38" s="332"/>
      <c r="BE38" s="332"/>
    </row>
    <row r="39" spans="1:57" s="334" customFormat="1">
      <c r="A39" s="294"/>
      <c r="B39" s="344"/>
      <c r="C39" s="296"/>
      <c r="D39" s="338" t="s">
        <v>215</v>
      </c>
      <c r="E39" s="470"/>
      <c r="F39" s="362"/>
      <c r="G39" s="363"/>
      <c r="H39" s="364"/>
      <c r="I39" s="362"/>
      <c r="J39" s="365"/>
      <c r="K39" s="290"/>
      <c r="L39" s="290"/>
      <c r="M39" s="290"/>
      <c r="N39" s="366"/>
      <c r="O39" s="366"/>
      <c r="P39" s="366"/>
      <c r="Q39" s="366"/>
      <c r="R39" s="290"/>
      <c r="S39" s="290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303"/>
      <c r="AG39" s="290"/>
      <c r="AH39" s="471"/>
      <c r="AI39" s="471"/>
      <c r="AJ39" s="471"/>
      <c r="AK39" s="471"/>
      <c r="AL39" s="471"/>
      <c r="AM39" s="471"/>
      <c r="AN39" s="471"/>
      <c r="AO39" s="471"/>
      <c r="AP39" s="471"/>
      <c r="AQ39" s="471"/>
      <c r="AR39" s="471"/>
      <c r="AS39" s="290">
        <v>3000</v>
      </c>
      <c r="AT39" s="471"/>
      <c r="AU39" s="471"/>
      <c r="AV39" s="312">
        <v>0</v>
      </c>
      <c r="AW39" s="304">
        <f t="shared" si="8"/>
        <v>3000</v>
      </c>
      <c r="AX39" s="304">
        <f t="shared" si="9"/>
        <v>3000</v>
      </c>
      <c r="AY39" s="332"/>
      <c r="AZ39" s="332"/>
      <c r="BA39" s="332"/>
      <c r="BB39" s="332"/>
      <c r="BC39" s="332"/>
      <c r="BD39" s="332"/>
      <c r="BE39" s="332"/>
    </row>
    <row r="40" spans="1:57" s="334" customFormat="1" ht="27" customHeight="1">
      <c r="A40" s="294"/>
      <c r="B40" s="344"/>
      <c r="C40" s="296"/>
      <c r="D40" s="338" t="s">
        <v>216</v>
      </c>
      <c r="E40" s="470"/>
      <c r="F40" s="362"/>
      <c r="G40" s="363"/>
      <c r="H40" s="364"/>
      <c r="I40" s="362"/>
      <c r="J40" s="365"/>
      <c r="K40" s="290"/>
      <c r="L40" s="290"/>
      <c r="M40" s="290"/>
      <c r="N40" s="366"/>
      <c r="O40" s="366"/>
      <c r="P40" s="366"/>
      <c r="Q40" s="366"/>
      <c r="R40" s="290"/>
      <c r="S40" s="290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303"/>
      <c r="AG40" s="290"/>
      <c r="AH40" s="471"/>
      <c r="AI40" s="471"/>
      <c r="AJ40" s="471"/>
      <c r="AK40" s="471"/>
      <c r="AL40" s="471"/>
      <c r="AM40" s="471"/>
      <c r="AN40" s="471"/>
      <c r="AO40" s="471"/>
      <c r="AP40" s="471"/>
      <c r="AQ40" s="471"/>
      <c r="AR40" s="471"/>
      <c r="AS40" s="290">
        <v>4500</v>
      </c>
      <c r="AT40" s="471"/>
      <c r="AU40" s="471"/>
      <c r="AV40" s="312">
        <v>0</v>
      </c>
      <c r="AW40" s="304">
        <f t="shared" si="8"/>
        <v>4500</v>
      </c>
      <c r="AX40" s="304">
        <f t="shared" si="9"/>
        <v>4500</v>
      </c>
      <c r="AY40" s="332"/>
      <c r="AZ40" s="332"/>
      <c r="BA40" s="332"/>
      <c r="BB40" s="332"/>
      <c r="BC40" s="332"/>
      <c r="BD40" s="332"/>
      <c r="BE40" s="332"/>
    </row>
    <row r="41" spans="1:57" s="334" customFormat="1" ht="24">
      <c r="A41" s="294"/>
      <c r="B41" s="344"/>
      <c r="C41" s="296"/>
      <c r="D41" s="338" t="s">
        <v>217</v>
      </c>
      <c r="E41" s="470"/>
      <c r="F41" s="362"/>
      <c r="G41" s="363"/>
      <c r="H41" s="364"/>
      <c r="I41" s="362"/>
      <c r="J41" s="365"/>
      <c r="K41" s="290"/>
      <c r="L41" s="290"/>
      <c r="M41" s="290"/>
      <c r="N41" s="366"/>
      <c r="O41" s="366"/>
      <c r="P41" s="366"/>
      <c r="Q41" s="366"/>
      <c r="R41" s="290"/>
      <c r="S41" s="290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303"/>
      <c r="AG41" s="290"/>
      <c r="AH41" s="471"/>
      <c r="AI41" s="471"/>
      <c r="AJ41" s="471"/>
      <c r="AK41" s="471"/>
      <c r="AL41" s="471"/>
      <c r="AM41" s="471"/>
      <c r="AN41" s="471"/>
      <c r="AO41" s="471"/>
      <c r="AP41" s="471"/>
      <c r="AQ41" s="471"/>
      <c r="AR41" s="471"/>
      <c r="AS41" s="290">
        <v>1750</v>
      </c>
      <c r="AT41" s="471"/>
      <c r="AU41" s="471"/>
      <c r="AV41" s="312">
        <v>0</v>
      </c>
      <c r="AW41" s="304">
        <f t="shared" si="8"/>
        <v>1750</v>
      </c>
      <c r="AX41" s="304">
        <f t="shared" si="9"/>
        <v>1750</v>
      </c>
      <c r="AY41" s="332"/>
      <c r="AZ41" s="332"/>
      <c r="BA41" s="332"/>
      <c r="BB41" s="332"/>
      <c r="BC41" s="332"/>
      <c r="BD41" s="332"/>
      <c r="BE41" s="332"/>
    </row>
    <row r="42" spans="1:57" ht="24">
      <c r="A42" s="294"/>
      <c r="B42" s="344"/>
      <c r="C42" s="296"/>
      <c r="D42" s="338" t="s">
        <v>218</v>
      </c>
      <c r="E42" s="469"/>
      <c r="F42" s="300"/>
      <c r="G42" s="368"/>
      <c r="H42" s="299"/>
      <c r="I42" s="300"/>
      <c r="J42" s="301"/>
      <c r="K42" s="471"/>
      <c r="L42" s="471"/>
      <c r="M42" s="471"/>
      <c r="N42" s="302"/>
      <c r="O42" s="302"/>
      <c r="P42" s="302"/>
      <c r="Q42" s="302"/>
      <c r="R42" s="471"/>
      <c r="S42" s="471"/>
      <c r="T42" s="471"/>
      <c r="U42" s="471"/>
      <c r="V42" s="471"/>
      <c r="W42" s="471"/>
      <c r="X42" s="471"/>
      <c r="Y42" s="471"/>
      <c r="Z42" s="471"/>
      <c r="AA42" s="471"/>
      <c r="AB42" s="471"/>
      <c r="AC42" s="471"/>
      <c r="AD42" s="471"/>
      <c r="AE42" s="471"/>
      <c r="AF42" s="303"/>
      <c r="AG42" s="471"/>
      <c r="AH42" s="471"/>
      <c r="AI42" s="471"/>
      <c r="AJ42" s="471"/>
      <c r="AK42" s="471"/>
      <c r="AL42" s="471"/>
      <c r="AM42" s="471"/>
      <c r="AN42" s="471"/>
      <c r="AO42" s="471"/>
      <c r="AP42" s="471"/>
      <c r="AQ42" s="471"/>
      <c r="AR42" s="471"/>
      <c r="AS42" s="290">
        <v>1750</v>
      </c>
      <c r="AT42" s="471"/>
      <c r="AU42" s="302"/>
      <c r="AV42" s="312">
        <v>0</v>
      </c>
      <c r="AW42" s="304">
        <f t="shared" si="8"/>
        <v>1750</v>
      </c>
      <c r="AX42" s="304">
        <f t="shared" si="9"/>
        <v>1750</v>
      </c>
      <c r="AY42" s="332"/>
      <c r="AZ42" s="332"/>
      <c r="BA42" s="369"/>
    </row>
    <row r="43" spans="1:57" ht="24">
      <c r="A43" s="294"/>
      <c r="B43" s="344"/>
      <c r="C43" s="472"/>
      <c r="D43" s="338" t="s">
        <v>219</v>
      </c>
      <c r="E43" s="470"/>
      <c r="F43" s="362"/>
      <c r="G43" s="363"/>
      <c r="H43" s="364"/>
      <c r="I43" s="362"/>
      <c r="J43" s="365"/>
      <c r="K43" s="290"/>
      <c r="L43" s="290"/>
      <c r="M43" s="290"/>
      <c r="N43" s="366"/>
      <c r="O43" s="366"/>
      <c r="P43" s="366"/>
      <c r="Q43" s="366"/>
      <c r="R43" s="290"/>
      <c r="S43" s="290"/>
      <c r="T43" s="290"/>
      <c r="U43" s="290"/>
      <c r="V43" s="290"/>
      <c r="W43" s="290"/>
      <c r="X43" s="290"/>
      <c r="Y43" s="290"/>
      <c r="Z43" s="290"/>
      <c r="AA43" s="290"/>
      <c r="AB43" s="290"/>
      <c r="AC43" s="290"/>
      <c r="AD43" s="290"/>
      <c r="AE43" s="290"/>
      <c r="AF43" s="370"/>
      <c r="AG43" s="290"/>
      <c r="AH43" s="290"/>
      <c r="AI43" s="290"/>
      <c r="AJ43" s="290"/>
      <c r="AK43" s="290"/>
      <c r="AL43" s="290"/>
      <c r="AM43" s="290"/>
      <c r="AN43" s="290"/>
      <c r="AO43" s="290"/>
      <c r="AP43" s="290"/>
      <c r="AQ43" s="290"/>
      <c r="AR43" s="290"/>
      <c r="AS43" s="290">
        <v>600</v>
      </c>
      <c r="AT43" s="290"/>
      <c r="AU43" s="366"/>
      <c r="AV43" s="312">
        <v>0</v>
      </c>
      <c r="AW43" s="304">
        <f t="shared" si="8"/>
        <v>600</v>
      </c>
      <c r="AX43" s="304">
        <f t="shared" si="9"/>
        <v>600</v>
      </c>
    </row>
    <row r="44" spans="1:57" ht="25.5" customHeight="1">
      <c r="A44" s="294"/>
      <c r="B44" s="344"/>
      <c r="C44" s="296"/>
      <c r="D44" s="325" t="s">
        <v>220</v>
      </c>
      <c r="E44" s="371"/>
      <c r="F44" s="309"/>
      <c r="G44" s="372"/>
      <c r="H44" s="308"/>
      <c r="I44" s="309"/>
      <c r="J44" s="310"/>
      <c r="K44" s="304"/>
      <c r="L44" s="304"/>
      <c r="M44" s="304"/>
      <c r="N44" s="311"/>
      <c r="O44" s="311"/>
      <c r="P44" s="311"/>
      <c r="Q44" s="311"/>
      <c r="R44" s="304"/>
      <c r="S44" s="304"/>
      <c r="T44" s="304"/>
      <c r="U44" s="304"/>
      <c r="V44" s="304"/>
      <c r="W44" s="304"/>
      <c r="X44" s="304"/>
      <c r="Y44" s="304"/>
      <c r="Z44" s="304"/>
      <c r="AA44" s="304"/>
      <c r="AB44" s="304"/>
      <c r="AC44" s="304"/>
      <c r="AD44" s="304"/>
      <c r="AE44" s="304"/>
      <c r="AF44" s="313"/>
      <c r="AG44" s="304"/>
      <c r="AH44" s="304"/>
      <c r="AI44" s="304"/>
      <c r="AJ44" s="304"/>
      <c r="AK44" s="304"/>
      <c r="AL44" s="304"/>
      <c r="AM44" s="304"/>
      <c r="AN44" s="304"/>
      <c r="AO44" s="304"/>
      <c r="AP44" s="304"/>
      <c r="AQ44" s="304"/>
      <c r="AR44" s="304"/>
      <c r="AS44" s="304">
        <f>AS45+AS46+AS47+AS48+AS49</f>
        <v>13611.54</v>
      </c>
      <c r="AT44" s="304">
        <f t="shared" ref="AT44:AU44" si="17">AT45+AT46+AT47+AT48+AT49</f>
        <v>0</v>
      </c>
      <c r="AU44" s="304">
        <f t="shared" si="17"/>
        <v>0</v>
      </c>
      <c r="AV44" s="304">
        <f>AV45+AV459+AV46+AV47+AV48+AV49</f>
        <v>0</v>
      </c>
      <c r="AW44" s="304">
        <f t="shared" si="8"/>
        <v>13611.54</v>
      </c>
      <c r="AX44" s="304">
        <f t="shared" si="9"/>
        <v>13611.54</v>
      </c>
    </row>
    <row r="45" spans="1:57" ht="12.75" customHeight="1">
      <c r="A45" s="294"/>
      <c r="B45" s="344"/>
      <c r="C45" s="472"/>
      <c r="D45" s="426" t="s">
        <v>221</v>
      </c>
      <c r="E45" s="373"/>
      <c r="F45" s="374"/>
      <c r="G45" s="375"/>
      <c r="H45" s="376"/>
      <c r="I45" s="374"/>
      <c r="J45" s="377"/>
      <c r="K45" s="378"/>
      <c r="L45" s="378"/>
      <c r="M45" s="378"/>
      <c r="N45" s="379"/>
      <c r="O45" s="379"/>
      <c r="P45" s="379"/>
      <c r="Q45" s="379"/>
      <c r="R45" s="378"/>
      <c r="S45" s="378"/>
      <c r="T45" s="378"/>
      <c r="U45" s="378"/>
      <c r="V45" s="378"/>
      <c r="W45" s="378"/>
      <c r="X45" s="378"/>
      <c r="Y45" s="378"/>
      <c r="Z45" s="378"/>
      <c r="AA45" s="378"/>
      <c r="AB45" s="378"/>
      <c r="AC45" s="378"/>
      <c r="AD45" s="378"/>
      <c r="AE45" s="378"/>
      <c r="AF45" s="380"/>
      <c r="AG45" s="378"/>
      <c r="AH45" s="378"/>
      <c r="AI45" s="378"/>
      <c r="AJ45" s="378"/>
      <c r="AK45" s="378"/>
      <c r="AL45" s="378"/>
      <c r="AM45" s="378"/>
      <c r="AN45" s="378"/>
      <c r="AO45" s="378"/>
      <c r="AP45" s="378"/>
      <c r="AQ45" s="378"/>
      <c r="AR45" s="378"/>
      <c r="AS45" s="378">
        <v>3750</v>
      </c>
      <c r="AT45" s="378"/>
      <c r="AU45" s="379"/>
      <c r="AV45" s="312">
        <v>0</v>
      </c>
      <c r="AW45" s="304">
        <f t="shared" si="8"/>
        <v>3750</v>
      </c>
      <c r="AX45" s="304">
        <f t="shared" si="9"/>
        <v>3750</v>
      </c>
      <c r="AZ45" s="381">
        <v>244.31</v>
      </c>
      <c r="BA45" s="382">
        <f>AW17</f>
        <v>3700</v>
      </c>
    </row>
    <row r="46" spans="1:57" ht="12.75" customHeight="1">
      <c r="A46" s="294"/>
      <c r="B46" s="344"/>
      <c r="C46" s="472"/>
      <c r="D46" s="427" t="s">
        <v>222</v>
      </c>
      <c r="E46" s="373"/>
      <c r="F46" s="374"/>
      <c r="G46" s="375"/>
      <c r="H46" s="376"/>
      <c r="I46" s="374"/>
      <c r="J46" s="377"/>
      <c r="K46" s="378"/>
      <c r="L46" s="378"/>
      <c r="M46" s="378"/>
      <c r="N46" s="379"/>
      <c r="O46" s="379"/>
      <c r="P46" s="379"/>
      <c r="Q46" s="379"/>
      <c r="R46" s="378"/>
      <c r="S46" s="378"/>
      <c r="T46" s="378"/>
      <c r="U46" s="378"/>
      <c r="V46" s="378"/>
      <c r="W46" s="378"/>
      <c r="X46" s="378"/>
      <c r="Y46" s="378"/>
      <c r="Z46" s="378"/>
      <c r="AA46" s="378"/>
      <c r="AB46" s="378"/>
      <c r="AC46" s="378"/>
      <c r="AD46" s="378"/>
      <c r="AE46" s="378"/>
      <c r="AF46" s="380"/>
      <c r="AG46" s="378"/>
      <c r="AH46" s="378"/>
      <c r="AI46" s="378"/>
      <c r="AJ46" s="378"/>
      <c r="AK46" s="378"/>
      <c r="AL46" s="378"/>
      <c r="AM46" s="378"/>
      <c r="AN46" s="378"/>
      <c r="AO46" s="378"/>
      <c r="AP46" s="378"/>
      <c r="AQ46" s="378"/>
      <c r="AR46" s="378"/>
      <c r="AS46" s="378">
        <v>1600</v>
      </c>
      <c r="AT46" s="378"/>
      <c r="AU46" s="379"/>
      <c r="AV46" s="312">
        <v>0</v>
      </c>
      <c r="AW46" s="304">
        <f t="shared" si="8"/>
        <v>1600</v>
      </c>
      <c r="AX46" s="304">
        <f t="shared" si="9"/>
        <v>1600</v>
      </c>
      <c r="AZ46" s="383"/>
      <c r="BA46" s="384"/>
    </row>
    <row r="47" spans="1:57" ht="12.75" customHeight="1">
      <c r="A47" s="294"/>
      <c r="B47" s="344"/>
      <c r="C47" s="472"/>
      <c r="D47" s="427" t="s">
        <v>223</v>
      </c>
      <c r="E47" s="373"/>
      <c r="F47" s="374"/>
      <c r="G47" s="375"/>
      <c r="H47" s="376"/>
      <c r="I47" s="374"/>
      <c r="J47" s="377"/>
      <c r="K47" s="378"/>
      <c r="L47" s="378"/>
      <c r="M47" s="378"/>
      <c r="N47" s="379"/>
      <c r="O47" s="379"/>
      <c r="P47" s="379"/>
      <c r="Q47" s="379"/>
      <c r="R47" s="378"/>
      <c r="S47" s="378"/>
      <c r="T47" s="378"/>
      <c r="U47" s="378"/>
      <c r="V47" s="378"/>
      <c r="W47" s="378"/>
      <c r="X47" s="378"/>
      <c r="Y47" s="378"/>
      <c r="Z47" s="378"/>
      <c r="AA47" s="378"/>
      <c r="AB47" s="378"/>
      <c r="AC47" s="378"/>
      <c r="AD47" s="378"/>
      <c r="AE47" s="378"/>
      <c r="AF47" s="380"/>
      <c r="AG47" s="378"/>
      <c r="AH47" s="378"/>
      <c r="AI47" s="378"/>
      <c r="AJ47" s="378"/>
      <c r="AK47" s="378"/>
      <c r="AL47" s="378"/>
      <c r="AM47" s="378"/>
      <c r="AN47" s="378"/>
      <c r="AO47" s="378"/>
      <c r="AP47" s="378"/>
      <c r="AQ47" s="378"/>
      <c r="AR47" s="378"/>
      <c r="AS47" s="378">
        <v>2700</v>
      </c>
      <c r="AT47" s="378"/>
      <c r="AU47" s="379"/>
      <c r="AV47" s="312">
        <v>0</v>
      </c>
      <c r="AW47" s="304">
        <f t="shared" si="8"/>
        <v>2700</v>
      </c>
      <c r="AX47" s="304">
        <f t="shared" si="9"/>
        <v>2700</v>
      </c>
      <c r="AZ47" s="383"/>
      <c r="BA47" s="384"/>
    </row>
    <row r="48" spans="1:57" ht="18.75" customHeight="1">
      <c r="A48" s="294"/>
      <c r="B48" s="344"/>
      <c r="C48" s="472"/>
      <c r="D48" s="427" t="s">
        <v>224</v>
      </c>
      <c r="E48" s="373"/>
      <c r="F48" s="374"/>
      <c r="G48" s="375"/>
      <c r="H48" s="376"/>
      <c r="I48" s="374"/>
      <c r="J48" s="377"/>
      <c r="K48" s="378"/>
      <c r="L48" s="378"/>
      <c r="M48" s="378"/>
      <c r="N48" s="379"/>
      <c r="O48" s="379"/>
      <c r="P48" s="379"/>
      <c r="Q48" s="379"/>
      <c r="R48" s="378"/>
      <c r="S48" s="378"/>
      <c r="T48" s="378"/>
      <c r="U48" s="378"/>
      <c r="V48" s="378"/>
      <c r="W48" s="378"/>
      <c r="X48" s="378"/>
      <c r="Y48" s="378"/>
      <c r="Z48" s="378"/>
      <c r="AA48" s="378"/>
      <c r="AB48" s="378"/>
      <c r="AC48" s="378"/>
      <c r="AD48" s="378"/>
      <c r="AE48" s="378"/>
      <c r="AF48" s="380"/>
      <c r="AG48" s="378"/>
      <c r="AH48" s="378"/>
      <c r="AI48" s="378"/>
      <c r="AJ48" s="378"/>
      <c r="AK48" s="378"/>
      <c r="AL48" s="378"/>
      <c r="AM48" s="378"/>
      <c r="AN48" s="378"/>
      <c r="AO48" s="378"/>
      <c r="AP48" s="378"/>
      <c r="AQ48" s="378"/>
      <c r="AR48" s="378"/>
      <c r="AS48" s="378">
        <f>1500+2034.2+838.46+1027.34</f>
        <v>5400</v>
      </c>
      <c r="AT48" s="378"/>
      <c r="AU48" s="379"/>
      <c r="AV48" s="312">
        <v>0</v>
      </c>
      <c r="AW48" s="304">
        <f t="shared" si="8"/>
        <v>5400</v>
      </c>
      <c r="AX48" s="304">
        <f t="shared" si="9"/>
        <v>5400</v>
      </c>
      <c r="AZ48" s="381">
        <v>244.22200000000001</v>
      </c>
      <c r="BA48" s="292">
        <f>AW8</f>
        <v>1588.73</v>
      </c>
    </row>
    <row r="49" spans="1:57" ht="13.5" customHeight="1">
      <c r="A49" s="294"/>
      <c r="B49" s="344"/>
      <c r="C49" s="472"/>
      <c r="D49" s="427" t="s">
        <v>225</v>
      </c>
      <c r="E49" s="373"/>
      <c r="F49" s="374"/>
      <c r="G49" s="375"/>
      <c r="H49" s="376"/>
      <c r="I49" s="374"/>
      <c r="J49" s="377"/>
      <c r="K49" s="378"/>
      <c r="L49" s="378"/>
      <c r="M49" s="378"/>
      <c r="N49" s="379"/>
      <c r="O49" s="379"/>
      <c r="P49" s="379"/>
      <c r="Q49" s="379"/>
      <c r="R49" s="378"/>
      <c r="S49" s="378"/>
      <c r="T49" s="378"/>
      <c r="U49" s="378"/>
      <c r="V49" s="378"/>
      <c r="W49" s="378"/>
      <c r="X49" s="378"/>
      <c r="Y49" s="378"/>
      <c r="Z49" s="378"/>
      <c r="AA49" s="378"/>
      <c r="AB49" s="378"/>
      <c r="AC49" s="378"/>
      <c r="AD49" s="378"/>
      <c r="AE49" s="378"/>
      <c r="AF49" s="380"/>
      <c r="AG49" s="378"/>
      <c r="AH49" s="378"/>
      <c r="AI49" s="378"/>
      <c r="AJ49" s="378"/>
      <c r="AK49" s="378"/>
      <c r="AL49" s="378"/>
      <c r="AM49" s="378"/>
      <c r="AN49" s="378"/>
      <c r="AO49" s="378"/>
      <c r="AP49" s="378"/>
      <c r="AQ49" s="378"/>
      <c r="AR49" s="378"/>
      <c r="AS49" s="378">
        <v>161.54</v>
      </c>
      <c r="AT49" s="378"/>
      <c r="AU49" s="379"/>
      <c r="AV49" s="312">
        <v>0</v>
      </c>
      <c r="AW49" s="304">
        <f t="shared" si="8"/>
        <v>161.54</v>
      </c>
      <c r="AX49" s="304">
        <f t="shared" si="9"/>
        <v>161.54</v>
      </c>
      <c r="AZ49" s="383"/>
    </row>
    <row r="50" spans="1:57" ht="30.75" customHeight="1">
      <c r="A50" s="294"/>
      <c r="B50" s="546" t="s">
        <v>11</v>
      </c>
      <c r="C50" s="547"/>
      <c r="D50" s="547"/>
      <c r="E50" s="354"/>
      <c r="F50" s="355"/>
      <c r="G50" s="356"/>
      <c r="H50" s="357"/>
      <c r="I50" s="355"/>
      <c r="J50" s="358"/>
      <c r="K50" s="321"/>
      <c r="L50" s="321"/>
      <c r="M50" s="321"/>
      <c r="N50" s="359"/>
      <c r="O50" s="359"/>
      <c r="P50" s="359"/>
      <c r="Q50" s="359"/>
      <c r="R50" s="321"/>
      <c r="S50" s="321"/>
      <c r="T50" s="321"/>
      <c r="U50" s="321"/>
      <c r="V50" s="321"/>
      <c r="W50" s="321"/>
      <c r="X50" s="321"/>
      <c r="Y50" s="321"/>
      <c r="Z50" s="321"/>
      <c r="AA50" s="321"/>
      <c r="AB50" s="321"/>
      <c r="AC50" s="321"/>
      <c r="AD50" s="321"/>
      <c r="AE50" s="321"/>
      <c r="AF50" s="360"/>
      <c r="AG50" s="321"/>
      <c r="AH50" s="319" t="e">
        <f>AH34+AH35+#REF!+#REF!</f>
        <v>#REF!</v>
      </c>
      <c r="AI50" s="319" t="e">
        <f>#REF!+AI34+AI35+#REF!+#REF!</f>
        <v>#REF!</v>
      </c>
      <c r="AJ50" s="319" t="e">
        <f>#REF!+AJ34+AJ35+#REF!+#REF!</f>
        <v>#REF!</v>
      </c>
      <c r="AK50" s="319" t="e">
        <f>#REF!+AK34+AK35+#REF!+#REF!</f>
        <v>#REF!</v>
      </c>
      <c r="AL50" s="319"/>
      <c r="AM50" s="319" t="e">
        <f>#REF!+AM34+AM35+#REF!+#REF!</f>
        <v>#REF!</v>
      </c>
      <c r="AN50" s="319" t="e">
        <f>#REF!+AN34+AN35+#REF!+#REF!</f>
        <v>#REF!</v>
      </c>
      <c r="AO50" s="319"/>
      <c r="AP50" s="319"/>
      <c r="AQ50" s="319"/>
      <c r="AR50" s="319"/>
      <c r="AS50" s="319">
        <f>AS35+AS34+AS44+AS37</f>
        <v>1159403.48</v>
      </c>
      <c r="AT50" s="319" t="e">
        <f t="shared" ref="AT50:AV50" si="18">AT35+AT34+AT44+AT37</f>
        <v>#REF!</v>
      </c>
      <c r="AU50" s="319" t="e">
        <f t="shared" si="18"/>
        <v>#REF!</v>
      </c>
      <c r="AV50" s="319">
        <f t="shared" si="18"/>
        <v>0</v>
      </c>
      <c r="AW50" s="319">
        <f t="shared" si="8"/>
        <v>1159403.48</v>
      </c>
      <c r="AX50" s="319">
        <f t="shared" si="9"/>
        <v>1159403.48</v>
      </c>
      <c r="AY50" s="292"/>
      <c r="AZ50" s="381"/>
    </row>
    <row r="51" spans="1:57" s="391" customFormat="1" ht="12.75">
      <c r="A51" s="388"/>
      <c r="B51" s="323" t="s">
        <v>229</v>
      </c>
      <c r="C51" s="307">
        <v>223</v>
      </c>
      <c r="D51" s="385" t="s">
        <v>6</v>
      </c>
      <c r="E51" s="307"/>
      <c r="F51" s="307"/>
      <c r="G51" s="307"/>
      <c r="H51" s="308"/>
      <c r="I51" s="309"/>
      <c r="J51" s="310"/>
      <c r="K51" s="304"/>
      <c r="L51" s="304"/>
      <c r="M51" s="304"/>
      <c r="N51" s="311"/>
      <c r="O51" s="311"/>
      <c r="P51" s="311"/>
      <c r="Q51" s="311"/>
      <c r="R51" s="304"/>
      <c r="S51" s="304"/>
      <c r="T51" s="304"/>
      <c r="U51" s="304"/>
      <c r="V51" s="304"/>
      <c r="W51" s="312"/>
      <c r="X51" s="304"/>
      <c r="Y51" s="304"/>
      <c r="Z51" s="304"/>
      <c r="AA51" s="304"/>
      <c r="AB51" s="304"/>
      <c r="AC51" s="304"/>
      <c r="AD51" s="304"/>
      <c r="AE51" s="304"/>
      <c r="AF51" s="313"/>
      <c r="AG51" s="304"/>
      <c r="AH51" s="304"/>
      <c r="AI51" s="386"/>
      <c r="AJ51" s="312"/>
      <c r="AK51" s="304">
        <f>AK53</f>
        <v>0</v>
      </c>
      <c r="AL51" s="304">
        <f t="shared" ref="AL51:AN51" si="19">AL53</f>
        <v>12036.85</v>
      </c>
      <c r="AM51" s="304">
        <f t="shared" si="19"/>
        <v>11602.85</v>
      </c>
      <c r="AN51" s="304">
        <f t="shared" si="19"/>
        <v>0</v>
      </c>
      <c r="AO51" s="304">
        <v>23730.32</v>
      </c>
      <c r="AP51" s="304">
        <f>AP52+AP55</f>
        <v>14483.46</v>
      </c>
      <c r="AQ51" s="304">
        <f>AQ52+AQ55</f>
        <v>0</v>
      </c>
      <c r="AR51" s="304">
        <f>AP51+AQ51</f>
        <v>14483.46</v>
      </c>
      <c r="AS51" s="304">
        <f>AS52+AS55</f>
        <v>55983.259999999995</v>
      </c>
      <c r="AT51" s="304" t="e">
        <f>AT53+#REF!+AT54</f>
        <v>#REF!</v>
      </c>
      <c r="AU51" s="304" t="e">
        <f>AU53+#REF!+AU54</f>
        <v>#REF!</v>
      </c>
      <c r="AV51" s="304">
        <f>AV52+AV55</f>
        <v>0</v>
      </c>
      <c r="AW51" s="304">
        <f>AS51+AV51</f>
        <v>55983.259999999995</v>
      </c>
      <c r="AX51" s="304">
        <f>AR51+AW51</f>
        <v>70466.720000000001</v>
      </c>
      <c r="AY51" s="389"/>
      <c r="AZ51" s="381">
        <v>244.346</v>
      </c>
      <c r="BA51" s="292">
        <f>AX12+AX21+AX36</f>
        <v>408267.63</v>
      </c>
      <c r="BB51" s="279"/>
      <c r="BC51" s="389"/>
      <c r="BD51" s="389"/>
      <c r="BE51" s="389"/>
    </row>
    <row r="52" spans="1:57" s="391" customFormat="1" ht="12.75">
      <c r="A52" s="388"/>
      <c r="B52" s="323" t="s">
        <v>226</v>
      </c>
      <c r="C52" s="307">
        <v>223</v>
      </c>
      <c r="D52" s="392" t="s">
        <v>6</v>
      </c>
      <c r="E52" s="307"/>
      <c r="F52" s="307"/>
      <c r="G52" s="307"/>
      <c r="H52" s="308"/>
      <c r="I52" s="309"/>
      <c r="J52" s="310"/>
      <c r="K52" s="304"/>
      <c r="L52" s="304"/>
      <c r="M52" s="304"/>
      <c r="N52" s="311"/>
      <c r="O52" s="311"/>
      <c r="P52" s="311"/>
      <c r="Q52" s="311"/>
      <c r="R52" s="304"/>
      <c r="S52" s="304"/>
      <c r="T52" s="304"/>
      <c r="U52" s="304"/>
      <c r="V52" s="304"/>
      <c r="W52" s="312"/>
      <c r="X52" s="304"/>
      <c r="Y52" s="304"/>
      <c r="Z52" s="304"/>
      <c r="AA52" s="304"/>
      <c r="AB52" s="304"/>
      <c r="AC52" s="304"/>
      <c r="AD52" s="304"/>
      <c r="AE52" s="304"/>
      <c r="AF52" s="313" t="s">
        <v>129</v>
      </c>
      <c r="AG52" s="304"/>
      <c r="AH52" s="304"/>
      <c r="AI52" s="386"/>
      <c r="AJ52" s="312"/>
      <c r="AK52" s="304"/>
      <c r="AL52" s="304"/>
      <c r="AM52" s="304"/>
      <c r="AN52" s="304"/>
      <c r="AO52" s="304"/>
      <c r="AP52" s="304">
        <f t="shared" ref="AP52:AX52" si="20">AP53+AP54</f>
        <v>13946.599999999999</v>
      </c>
      <c r="AQ52" s="304">
        <f t="shared" si="20"/>
        <v>0</v>
      </c>
      <c r="AR52" s="304">
        <f t="shared" si="20"/>
        <v>13946.599999999999</v>
      </c>
      <c r="AS52" s="304">
        <f t="shared" si="20"/>
        <v>52836.1</v>
      </c>
      <c r="AT52" s="304">
        <f t="shared" si="20"/>
        <v>40612.670000000006</v>
      </c>
      <c r="AU52" s="304">
        <f t="shared" si="20"/>
        <v>40612.670000000006</v>
      </c>
      <c r="AV52" s="304">
        <f t="shared" si="20"/>
        <v>0</v>
      </c>
      <c r="AW52" s="304">
        <f t="shared" si="20"/>
        <v>52836.1</v>
      </c>
      <c r="AX52" s="304">
        <f t="shared" si="20"/>
        <v>66782.7</v>
      </c>
      <c r="AY52" s="389"/>
      <c r="AZ52" s="381"/>
      <c r="BA52" s="279"/>
      <c r="BB52" s="279"/>
      <c r="BC52" s="389"/>
      <c r="BD52" s="389"/>
      <c r="BE52" s="389"/>
    </row>
    <row r="53" spans="1:57" s="391" customFormat="1" ht="15.75" customHeight="1">
      <c r="A53" s="388"/>
      <c r="B53" s="335"/>
      <c r="C53" s="324"/>
      <c r="D53" s="387" t="s">
        <v>162</v>
      </c>
      <c r="E53" s="307"/>
      <c r="F53" s="307"/>
      <c r="G53" s="307"/>
      <c r="H53" s="308"/>
      <c r="I53" s="309"/>
      <c r="J53" s="310"/>
      <c r="K53" s="304"/>
      <c r="L53" s="304"/>
      <c r="M53" s="304"/>
      <c r="N53" s="311"/>
      <c r="O53" s="311"/>
      <c r="P53" s="311"/>
      <c r="Q53" s="311"/>
      <c r="R53" s="304"/>
      <c r="S53" s="304"/>
      <c r="T53" s="304"/>
      <c r="U53" s="304"/>
      <c r="V53" s="304"/>
      <c r="W53" s="312"/>
      <c r="X53" s="304"/>
      <c r="Y53" s="304"/>
      <c r="Z53" s="304"/>
      <c r="AA53" s="304"/>
      <c r="AB53" s="304"/>
      <c r="AC53" s="304"/>
      <c r="AD53" s="304"/>
      <c r="AE53" s="304"/>
      <c r="AF53" s="313" t="s">
        <v>129</v>
      </c>
      <c r="AG53" s="304"/>
      <c r="AH53" s="304"/>
      <c r="AI53" s="386"/>
      <c r="AJ53" s="312"/>
      <c r="AK53" s="312">
        <v>0</v>
      </c>
      <c r="AL53" s="312">
        <v>12036.85</v>
      </c>
      <c r="AM53" s="312">
        <v>11602.85</v>
      </c>
      <c r="AN53" s="312"/>
      <c r="AO53" s="312"/>
      <c r="AP53" s="312">
        <v>5585.54</v>
      </c>
      <c r="AQ53" s="312">
        <v>0</v>
      </c>
      <c r="AR53" s="312">
        <f t="shared" ref="AR53:AR58" si="21">AP53+AQ53</f>
        <v>5585.54</v>
      </c>
      <c r="AS53" s="312">
        <v>36899.85</v>
      </c>
      <c r="AT53" s="312">
        <f t="shared" ref="AT53:AU53" si="22">35459.98+5152.69</f>
        <v>40612.670000000006</v>
      </c>
      <c r="AU53" s="312">
        <f t="shared" si="22"/>
        <v>40612.670000000006</v>
      </c>
      <c r="AV53" s="312">
        <v>0</v>
      </c>
      <c r="AW53" s="312">
        <f t="shared" si="8"/>
        <v>36899.85</v>
      </c>
      <c r="AX53" s="312">
        <f>AR53+AW53</f>
        <v>42485.39</v>
      </c>
      <c r="AY53" s="389"/>
      <c r="AZ53" s="381">
        <v>244.34899999999999</v>
      </c>
      <c r="BA53" s="292">
        <f>AW31</f>
        <v>5700</v>
      </c>
      <c r="BB53" s="279"/>
      <c r="BC53" s="389"/>
      <c r="BD53" s="389"/>
      <c r="BE53" s="389"/>
    </row>
    <row r="54" spans="1:57" s="391" customFormat="1" ht="15" customHeight="1">
      <c r="A54" s="394"/>
      <c r="B54" s="335"/>
      <c r="C54" s="307"/>
      <c r="D54" s="387" t="s">
        <v>227</v>
      </c>
      <c r="E54" s="307"/>
      <c r="F54" s="307"/>
      <c r="G54" s="307"/>
      <c r="H54" s="308"/>
      <c r="I54" s="309"/>
      <c r="J54" s="310"/>
      <c r="K54" s="304"/>
      <c r="L54" s="304"/>
      <c r="M54" s="304"/>
      <c r="N54" s="311"/>
      <c r="O54" s="311"/>
      <c r="P54" s="311"/>
      <c r="Q54" s="311"/>
      <c r="R54" s="304"/>
      <c r="S54" s="304"/>
      <c r="T54" s="304"/>
      <c r="U54" s="304"/>
      <c r="V54" s="304"/>
      <c r="W54" s="312"/>
      <c r="X54" s="304"/>
      <c r="Y54" s="304"/>
      <c r="Z54" s="304"/>
      <c r="AA54" s="304"/>
      <c r="AB54" s="304"/>
      <c r="AC54" s="304"/>
      <c r="AD54" s="304"/>
      <c r="AE54" s="304"/>
      <c r="AF54" s="313" t="s">
        <v>129</v>
      </c>
      <c r="AG54" s="304"/>
      <c r="AH54" s="304"/>
      <c r="AI54" s="386"/>
      <c r="AJ54" s="312"/>
      <c r="AK54" s="312"/>
      <c r="AL54" s="312"/>
      <c r="AM54" s="312"/>
      <c r="AN54" s="312"/>
      <c r="AO54" s="312"/>
      <c r="AP54" s="312">
        <v>8361.06</v>
      </c>
      <c r="AQ54" s="312">
        <v>0</v>
      </c>
      <c r="AR54" s="312">
        <f t="shared" si="21"/>
        <v>8361.06</v>
      </c>
      <c r="AS54" s="312">
        <v>15936.25</v>
      </c>
      <c r="AT54" s="312"/>
      <c r="AU54" s="312"/>
      <c r="AV54" s="312">
        <v>0</v>
      </c>
      <c r="AW54" s="312">
        <f t="shared" si="8"/>
        <v>15936.25</v>
      </c>
      <c r="AX54" s="312">
        <f>AR54+AW54</f>
        <v>24297.309999999998</v>
      </c>
      <c r="AY54" s="389"/>
      <c r="AZ54" s="381"/>
      <c r="BA54" s="292"/>
      <c r="BB54" s="279"/>
      <c r="BC54" s="389"/>
      <c r="BD54" s="389"/>
      <c r="BE54" s="389"/>
    </row>
    <row r="55" spans="1:57" s="391" customFormat="1" ht="15" customHeight="1">
      <c r="A55" s="394"/>
      <c r="B55" s="335"/>
      <c r="C55" s="307">
        <v>223</v>
      </c>
      <c r="D55" s="392" t="s">
        <v>6</v>
      </c>
      <c r="E55" s="307"/>
      <c r="F55" s="307"/>
      <c r="G55" s="307"/>
      <c r="H55" s="308"/>
      <c r="I55" s="309"/>
      <c r="J55" s="310"/>
      <c r="K55" s="304"/>
      <c r="L55" s="304"/>
      <c r="M55" s="304"/>
      <c r="N55" s="311"/>
      <c r="O55" s="311"/>
      <c r="P55" s="311"/>
      <c r="Q55" s="311"/>
      <c r="R55" s="304"/>
      <c r="S55" s="304"/>
      <c r="T55" s="304"/>
      <c r="U55" s="304"/>
      <c r="V55" s="304"/>
      <c r="W55" s="312"/>
      <c r="X55" s="304"/>
      <c r="Y55" s="304"/>
      <c r="Z55" s="304"/>
      <c r="AA55" s="304"/>
      <c r="AB55" s="304"/>
      <c r="AC55" s="304"/>
      <c r="AD55" s="304"/>
      <c r="AE55" s="304"/>
      <c r="AF55" s="313" t="s">
        <v>78</v>
      </c>
      <c r="AG55" s="304"/>
      <c r="AH55" s="304"/>
      <c r="AI55" s="386"/>
      <c r="AJ55" s="312"/>
      <c r="AK55" s="312"/>
      <c r="AL55" s="312"/>
      <c r="AM55" s="312"/>
      <c r="AN55" s="312"/>
      <c r="AO55" s="312"/>
      <c r="AP55" s="304">
        <f>AP56+AP57</f>
        <v>536.86</v>
      </c>
      <c r="AQ55" s="304">
        <f>AQ56+AQ57</f>
        <v>0</v>
      </c>
      <c r="AR55" s="304">
        <f>AP55+AQ55</f>
        <v>536.86</v>
      </c>
      <c r="AS55" s="304">
        <f>AS56+AS57</f>
        <v>3147.16</v>
      </c>
      <c r="AT55" s="304">
        <f t="shared" ref="AT55:AU55" si="23">AT56+AT57</f>
        <v>0</v>
      </c>
      <c r="AU55" s="304">
        <f t="shared" si="23"/>
        <v>0</v>
      </c>
      <c r="AV55" s="304">
        <f>AV56+AV57</f>
        <v>0</v>
      </c>
      <c r="AW55" s="304">
        <f t="shared" si="8"/>
        <v>3147.16</v>
      </c>
      <c r="AX55" s="304">
        <f>AR55+AW55</f>
        <v>3684.02</v>
      </c>
      <c r="AY55" s="389"/>
      <c r="AZ55" s="381"/>
      <c r="BA55" s="279"/>
      <c r="BB55" s="279"/>
      <c r="BC55" s="389"/>
      <c r="BD55" s="389"/>
      <c r="BE55" s="389"/>
    </row>
    <row r="56" spans="1:57" s="391" customFormat="1" ht="26.25" customHeight="1">
      <c r="B56" s="335"/>
      <c r="C56" s="307"/>
      <c r="D56" s="306" t="s">
        <v>238</v>
      </c>
      <c r="E56" s="307"/>
      <c r="F56" s="307"/>
      <c r="G56" s="307"/>
      <c r="H56" s="308"/>
      <c r="I56" s="309"/>
      <c r="J56" s="310"/>
      <c r="K56" s="304"/>
      <c r="L56" s="304"/>
      <c r="M56" s="304"/>
      <c r="N56" s="311"/>
      <c r="O56" s="311"/>
      <c r="P56" s="311"/>
      <c r="Q56" s="311"/>
      <c r="R56" s="304"/>
      <c r="S56" s="304"/>
      <c r="T56" s="304"/>
      <c r="U56" s="304"/>
      <c r="V56" s="304"/>
      <c r="W56" s="312"/>
      <c r="X56" s="304"/>
      <c r="Y56" s="304"/>
      <c r="Z56" s="304"/>
      <c r="AA56" s="304"/>
      <c r="AB56" s="304"/>
      <c r="AC56" s="304"/>
      <c r="AD56" s="304"/>
      <c r="AE56" s="304"/>
      <c r="AF56" s="313" t="s">
        <v>78</v>
      </c>
      <c r="AG56" s="304"/>
      <c r="AH56" s="304"/>
      <c r="AI56" s="386"/>
      <c r="AJ56" s="312"/>
      <c r="AK56" s="312"/>
      <c r="AL56" s="312"/>
      <c r="AM56" s="312"/>
      <c r="AN56" s="312"/>
      <c r="AO56" s="312"/>
      <c r="AP56" s="312">
        <v>536.86</v>
      </c>
      <c r="AQ56" s="312">
        <v>0</v>
      </c>
      <c r="AR56" s="312">
        <f t="shared" si="21"/>
        <v>536.86</v>
      </c>
      <c r="AS56" s="378">
        <v>838.75</v>
      </c>
      <c r="AT56" s="378"/>
      <c r="AU56" s="378"/>
      <c r="AV56" s="312">
        <v>0</v>
      </c>
      <c r="AW56" s="312">
        <f t="shared" si="8"/>
        <v>838.75</v>
      </c>
      <c r="AX56" s="312">
        <f>AR56+AW56</f>
        <v>1375.6100000000001</v>
      </c>
      <c r="AY56" s="389"/>
      <c r="AZ56" s="381">
        <v>244.345</v>
      </c>
      <c r="BA56" s="292">
        <f>AW19</f>
        <v>57600</v>
      </c>
      <c r="BB56" s="279"/>
      <c r="BC56" s="389"/>
      <c r="BD56" s="389"/>
      <c r="BE56" s="389"/>
    </row>
    <row r="57" spans="1:57" s="391" customFormat="1" ht="18.75" customHeight="1">
      <c r="A57" s="395"/>
      <c r="B57" s="335"/>
      <c r="C57" s="307"/>
      <c r="D57" s="306" t="s">
        <v>228</v>
      </c>
      <c r="E57" s="307"/>
      <c r="F57" s="307"/>
      <c r="G57" s="307"/>
      <c r="H57" s="308"/>
      <c r="I57" s="309"/>
      <c r="J57" s="310"/>
      <c r="K57" s="304"/>
      <c r="L57" s="304"/>
      <c r="M57" s="304"/>
      <c r="N57" s="311"/>
      <c r="O57" s="311"/>
      <c r="P57" s="311"/>
      <c r="Q57" s="311"/>
      <c r="R57" s="304"/>
      <c r="S57" s="304"/>
      <c r="T57" s="304"/>
      <c r="U57" s="304"/>
      <c r="V57" s="304"/>
      <c r="W57" s="312"/>
      <c r="X57" s="304"/>
      <c r="Y57" s="304"/>
      <c r="Z57" s="304"/>
      <c r="AA57" s="304"/>
      <c r="AB57" s="304"/>
      <c r="AC57" s="304"/>
      <c r="AD57" s="304"/>
      <c r="AE57" s="304"/>
      <c r="AF57" s="313" t="s">
        <v>78</v>
      </c>
      <c r="AG57" s="304"/>
      <c r="AH57" s="304"/>
      <c r="AI57" s="386"/>
      <c r="AJ57" s="312"/>
      <c r="AK57" s="312"/>
      <c r="AL57" s="312"/>
      <c r="AM57" s="312"/>
      <c r="AN57" s="312"/>
      <c r="AO57" s="312"/>
      <c r="AP57" s="312">
        <v>0</v>
      </c>
      <c r="AQ57" s="312">
        <v>0</v>
      </c>
      <c r="AR57" s="312">
        <f t="shared" si="21"/>
        <v>0</v>
      </c>
      <c r="AS57" s="378">
        <v>2308.41</v>
      </c>
      <c r="AT57" s="378"/>
      <c r="AU57" s="378"/>
      <c r="AV57" s="312">
        <v>0</v>
      </c>
      <c r="AW57" s="312">
        <f t="shared" si="8"/>
        <v>2308.41</v>
      </c>
      <c r="AX57" s="312">
        <f t="shared" si="9"/>
        <v>2308.41</v>
      </c>
      <c r="AY57" s="389"/>
      <c r="AZ57" s="381"/>
      <c r="BA57" s="389"/>
      <c r="BB57" s="279"/>
      <c r="BC57" s="389"/>
      <c r="BD57" s="389"/>
      <c r="BE57" s="389"/>
    </row>
    <row r="58" spans="1:57" s="391" customFormat="1" ht="24.75" customHeight="1">
      <c r="A58" s="395"/>
      <c r="B58" s="335"/>
      <c r="C58" s="307">
        <v>225</v>
      </c>
      <c r="D58" s="307" t="s">
        <v>7</v>
      </c>
      <c r="E58" s="307"/>
      <c r="F58" s="307"/>
      <c r="G58" s="307"/>
      <c r="H58" s="308"/>
      <c r="I58" s="309"/>
      <c r="J58" s="310"/>
      <c r="K58" s="304"/>
      <c r="L58" s="304"/>
      <c r="M58" s="304"/>
      <c r="N58" s="311"/>
      <c r="O58" s="311"/>
      <c r="P58" s="311"/>
      <c r="Q58" s="311"/>
      <c r="R58" s="304"/>
      <c r="S58" s="304"/>
      <c r="T58" s="304"/>
      <c r="U58" s="304"/>
      <c r="V58" s="304"/>
      <c r="W58" s="312"/>
      <c r="X58" s="304"/>
      <c r="Y58" s="304"/>
      <c r="Z58" s="304"/>
      <c r="AA58" s="304"/>
      <c r="AB58" s="304"/>
      <c r="AC58" s="304"/>
      <c r="AD58" s="304"/>
      <c r="AE58" s="304"/>
      <c r="AF58" s="313" t="s">
        <v>78</v>
      </c>
      <c r="AG58" s="304"/>
      <c r="AH58" s="304"/>
      <c r="AI58" s="386"/>
      <c r="AJ58" s="312"/>
      <c r="AK58" s="312"/>
      <c r="AL58" s="312"/>
      <c r="AM58" s="312"/>
      <c r="AN58" s="312"/>
      <c r="AO58" s="312"/>
      <c r="AP58" s="304">
        <f>AP59</f>
        <v>1372.5</v>
      </c>
      <c r="AQ58" s="304">
        <f>AQ59</f>
        <v>0</v>
      </c>
      <c r="AR58" s="304">
        <f t="shared" si="21"/>
        <v>1372.5</v>
      </c>
      <c r="AS58" s="304">
        <f>AS59</f>
        <v>3019.5</v>
      </c>
      <c r="AT58" s="304"/>
      <c r="AU58" s="304"/>
      <c r="AV58" s="304">
        <f>AV59</f>
        <v>0</v>
      </c>
      <c r="AW58" s="304">
        <f t="shared" si="8"/>
        <v>3019.5</v>
      </c>
      <c r="AX58" s="304">
        <f t="shared" si="9"/>
        <v>4392</v>
      </c>
      <c r="AY58" s="389"/>
      <c r="AZ58" s="381">
        <v>244.22300000000001</v>
      </c>
      <c r="BA58" s="292">
        <f>AX55</f>
        <v>3684.02</v>
      </c>
      <c r="BB58" s="279"/>
      <c r="BC58" s="389"/>
      <c r="BD58" s="389"/>
      <c r="BE58" s="389"/>
    </row>
    <row r="59" spans="1:57" s="391" customFormat="1" ht="39.75" customHeight="1">
      <c r="A59" s="395"/>
      <c r="B59" s="335"/>
      <c r="C59" s="307"/>
      <c r="D59" s="306" t="s">
        <v>231</v>
      </c>
      <c r="E59" s="307"/>
      <c r="F59" s="307"/>
      <c r="G59" s="307"/>
      <c r="H59" s="308"/>
      <c r="I59" s="309"/>
      <c r="J59" s="310"/>
      <c r="K59" s="304"/>
      <c r="L59" s="304"/>
      <c r="M59" s="304"/>
      <c r="N59" s="311"/>
      <c r="O59" s="311"/>
      <c r="P59" s="311"/>
      <c r="Q59" s="311"/>
      <c r="R59" s="304"/>
      <c r="S59" s="304"/>
      <c r="T59" s="304"/>
      <c r="U59" s="304"/>
      <c r="V59" s="304"/>
      <c r="W59" s="312"/>
      <c r="X59" s="304"/>
      <c r="Y59" s="304"/>
      <c r="Z59" s="304"/>
      <c r="AA59" s="304"/>
      <c r="AB59" s="304"/>
      <c r="AC59" s="304"/>
      <c r="AD59" s="304"/>
      <c r="AE59" s="304"/>
      <c r="AF59" s="313"/>
      <c r="AG59" s="304"/>
      <c r="AH59" s="304"/>
      <c r="AI59" s="386"/>
      <c r="AJ59" s="312"/>
      <c r="AK59" s="312"/>
      <c r="AL59" s="312"/>
      <c r="AM59" s="312"/>
      <c r="AN59" s="312"/>
      <c r="AO59" s="312"/>
      <c r="AP59" s="312">
        <v>1372.5</v>
      </c>
      <c r="AQ59" s="312">
        <v>0</v>
      </c>
      <c r="AR59" s="312">
        <f>AP59+AQ59</f>
        <v>1372.5</v>
      </c>
      <c r="AS59" s="312">
        <v>3019.5</v>
      </c>
      <c r="AT59" s="312"/>
      <c r="AU59" s="312"/>
      <c r="AV59" s="312">
        <v>0</v>
      </c>
      <c r="AW59" s="312">
        <f t="shared" si="8"/>
        <v>3019.5</v>
      </c>
      <c r="AX59" s="312">
        <f>AR59+AW59</f>
        <v>4392</v>
      </c>
      <c r="AY59" s="389"/>
      <c r="AZ59" s="390">
        <v>244.226</v>
      </c>
      <c r="BA59" s="389">
        <f>AX13</f>
        <v>21983.81</v>
      </c>
      <c r="BB59" s="389"/>
      <c r="BC59" s="389"/>
      <c r="BD59" s="389"/>
      <c r="BE59" s="389"/>
    </row>
    <row r="60" spans="1:57" ht="11.25" customHeight="1">
      <c r="B60" s="396"/>
      <c r="C60" s="315"/>
      <c r="D60" s="397" t="s">
        <v>11</v>
      </c>
      <c r="E60" s="315"/>
      <c r="F60" s="315"/>
      <c r="G60" s="315"/>
      <c r="H60" s="316"/>
      <c r="I60" s="317"/>
      <c r="J60" s="318"/>
      <c r="K60" s="319"/>
      <c r="L60" s="319"/>
      <c r="M60" s="319"/>
      <c r="N60" s="320"/>
      <c r="O60" s="320"/>
      <c r="P60" s="320"/>
      <c r="Q60" s="320"/>
      <c r="R60" s="319"/>
      <c r="S60" s="319"/>
      <c r="T60" s="319"/>
      <c r="U60" s="319"/>
      <c r="V60" s="319"/>
      <c r="W60" s="321"/>
      <c r="X60" s="319"/>
      <c r="Y60" s="319"/>
      <c r="Z60" s="319"/>
      <c r="AA60" s="319"/>
      <c r="AB60" s="319"/>
      <c r="AC60" s="319"/>
      <c r="AD60" s="319"/>
      <c r="AE60" s="319"/>
      <c r="AF60" s="322"/>
      <c r="AG60" s="319"/>
      <c r="AH60" s="319"/>
      <c r="AI60" s="398"/>
      <c r="AJ60" s="321"/>
      <c r="AK60" s="321"/>
      <c r="AL60" s="321"/>
      <c r="AM60" s="321"/>
      <c r="AN60" s="321"/>
      <c r="AO60" s="399">
        <v>23730.32</v>
      </c>
      <c r="AP60" s="399">
        <f>AP51+AP58</f>
        <v>15855.96</v>
      </c>
      <c r="AQ60" s="399">
        <f>AQ51+AQ58</f>
        <v>0</v>
      </c>
      <c r="AR60" s="399">
        <f>AP60+AQ60</f>
        <v>15855.96</v>
      </c>
      <c r="AS60" s="319">
        <f>AS51+AS58</f>
        <v>59002.759999999995</v>
      </c>
      <c r="AT60" s="319" t="e">
        <f>AT51+AT58</f>
        <v>#REF!</v>
      </c>
      <c r="AU60" s="319" t="e">
        <f>AU51+AU58</f>
        <v>#REF!</v>
      </c>
      <c r="AV60" s="319">
        <f>AV51+AV58</f>
        <v>0</v>
      </c>
      <c r="AW60" s="319">
        <f>AS60+AV60</f>
        <v>59002.759999999995</v>
      </c>
      <c r="AX60" s="319">
        <f>AR60+AW60</f>
        <v>74858.720000000001</v>
      </c>
      <c r="AZ60" s="390">
        <v>244.22499999999999</v>
      </c>
      <c r="BA60" s="393">
        <f>AX58</f>
        <v>4392</v>
      </c>
      <c r="BB60" s="389"/>
    </row>
    <row r="61" spans="1:57" ht="11.25" customHeight="1">
      <c r="B61" s="396"/>
      <c r="C61" s="315"/>
      <c r="D61" s="397" t="s">
        <v>233</v>
      </c>
      <c r="E61" s="315"/>
      <c r="F61" s="315"/>
      <c r="G61" s="315"/>
      <c r="H61" s="316"/>
      <c r="I61" s="317"/>
      <c r="J61" s="318"/>
      <c r="K61" s="319"/>
      <c r="L61" s="319"/>
      <c r="M61" s="319"/>
      <c r="N61" s="320"/>
      <c r="O61" s="320"/>
      <c r="P61" s="320"/>
      <c r="Q61" s="320"/>
      <c r="R61" s="319"/>
      <c r="S61" s="319"/>
      <c r="T61" s="319"/>
      <c r="U61" s="319"/>
      <c r="V61" s="319"/>
      <c r="W61" s="321"/>
      <c r="X61" s="319"/>
      <c r="Y61" s="319"/>
      <c r="Z61" s="319"/>
      <c r="AA61" s="319"/>
      <c r="AB61" s="319"/>
      <c r="AC61" s="319"/>
      <c r="AD61" s="319"/>
      <c r="AE61" s="319"/>
      <c r="AF61" s="322"/>
      <c r="AG61" s="319"/>
      <c r="AH61" s="319"/>
      <c r="AI61" s="398"/>
      <c r="AJ61" s="321"/>
      <c r="AK61" s="321"/>
      <c r="AL61" s="321"/>
      <c r="AM61" s="321"/>
      <c r="AN61" s="321"/>
      <c r="AO61" s="399">
        <v>23730.32</v>
      </c>
      <c r="AP61" s="319">
        <f t="shared" ref="AP61:AX61" si="24">AP60+AP50+AP33+AP14</f>
        <v>37839.770000000004</v>
      </c>
      <c r="AQ61" s="319">
        <f t="shared" si="24"/>
        <v>0</v>
      </c>
      <c r="AR61" s="319">
        <f t="shared" si="24"/>
        <v>37839.770000000004</v>
      </c>
      <c r="AS61" s="319">
        <f t="shared" si="24"/>
        <v>2162160.23</v>
      </c>
      <c r="AT61" s="319" t="e">
        <f t="shared" si="24"/>
        <v>#REF!</v>
      </c>
      <c r="AU61" s="319" t="e">
        <f t="shared" si="24"/>
        <v>#REF!</v>
      </c>
      <c r="AV61" s="319">
        <f t="shared" si="24"/>
        <v>0</v>
      </c>
      <c r="AW61" s="319">
        <f t="shared" si="24"/>
        <v>2162160.23</v>
      </c>
      <c r="AX61" s="319">
        <f t="shared" si="24"/>
        <v>2200000</v>
      </c>
      <c r="AZ61" s="390"/>
      <c r="BA61" s="389"/>
      <c r="BB61" s="389"/>
    </row>
    <row r="62" spans="1:57" ht="18.75" customHeight="1" thickBot="1">
      <c r="B62" s="551" t="s">
        <v>234</v>
      </c>
      <c r="C62" s="552"/>
      <c r="D62" s="552"/>
      <c r="E62" s="400"/>
      <c r="F62" s="401"/>
      <c r="G62" s="402"/>
      <c r="H62" s="400"/>
      <c r="I62" s="403"/>
      <c r="J62" s="404"/>
      <c r="K62" s="404"/>
      <c r="L62" s="404"/>
      <c r="M62" s="405"/>
      <c r="N62" s="405"/>
      <c r="O62" s="405"/>
      <c r="P62" s="405"/>
      <c r="Q62" s="404"/>
      <c r="R62" s="404"/>
      <c r="S62" s="404"/>
      <c r="T62" s="404"/>
      <c r="U62" s="404"/>
      <c r="V62" s="404"/>
      <c r="W62" s="404"/>
      <c r="X62" s="404"/>
      <c r="Y62" s="404"/>
      <c r="Z62" s="404"/>
      <c r="AA62" s="404"/>
      <c r="AB62" s="404"/>
      <c r="AC62" s="404"/>
      <c r="AD62" s="404"/>
      <c r="AE62" s="406"/>
      <c r="AF62" s="407"/>
      <c r="AG62" s="407" t="e">
        <f>#REF!+#REF!+#REF!</f>
        <v>#REF!</v>
      </c>
      <c r="AH62" s="407"/>
      <c r="AI62" s="407" t="e">
        <f>#REF!+AI50+AI33+AI14</f>
        <v>#REF!</v>
      </c>
      <c r="AJ62" s="407" t="e">
        <f>#REF!+AJ50+AJ33+AJ14</f>
        <v>#REF!</v>
      </c>
      <c r="AK62" s="407" t="e">
        <f>#REF!+AK50+AK33+AK14</f>
        <v>#REF!</v>
      </c>
      <c r="AL62" s="407" t="e">
        <f>#REF!+AL50+AL33+AL14</f>
        <v>#REF!</v>
      </c>
      <c r="AM62" s="407" t="e">
        <f>#REF!+AM50+AM33+AM14</f>
        <v>#REF!</v>
      </c>
      <c r="AN62" s="407"/>
      <c r="AO62" s="407">
        <f>AO14+AO61</f>
        <v>23843.32</v>
      </c>
      <c r="AP62" s="407"/>
      <c r="AQ62" s="407"/>
      <c r="AR62" s="407"/>
      <c r="AS62" s="407">
        <f>AP61+AS61</f>
        <v>2200000</v>
      </c>
      <c r="AT62" s="408" t="e">
        <f>#REF!+AT50+AT33+AT14</f>
        <v>#REF!</v>
      </c>
      <c r="AU62" s="408" t="e">
        <f>#REF!+AU50+AU33+AU14</f>
        <v>#REF!</v>
      </c>
      <c r="AV62" s="319">
        <f>AV61</f>
        <v>0</v>
      </c>
      <c r="AW62" s="319">
        <f t="shared" si="8"/>
        <v>2200000</v>
      </c>
      <c r="AX62" s="319">
        <f t="shared" si="9"/>
        <v>2200000</v>
      </c>
      <c r="AZ62" s="390">
        <v>213.119</v>
      </c>
      <c r="BA62" s="393">
        <f>AW11+AW16+AW35</f>
        <v>377309.73</v>
      </c>
      <c r="BB62" s="389"/>
    </row>
    <row r="63" spans="1:57">
      <c r="C63" s="280"/>
      <c r="D63" s="280"/>
      <c r="E63" s="280"/>
      <c r="H63" s="280"/>
      <c r="I63" s="280"/>
      <c r="J63" s="280"/>
      <c r="K63" s="280"/>
      <c r="L63" s="280"/>
      <c r="M63" s="280"/>
      <c r="N63" s="280"/>
      <c r="O63" s="280"/>
      <c r="P63" s="280"/>
      <c r="Q63" s="280"/>
      <c r="R63" s="280"/>
      <c r="S63" s="280"/>
      <c r="T63" s="280"/>
      <c r="U63" s="280"/>
      <c r="V63" s="280"/>
      <c r="W63" s="280"/>
      <c r="X63" s="280"/>
      <c r="Y63" s="280"/>
      <c r="Z63" s="280"/>
      <c r="AA63" s="280"/>
      <c r="AB63" s="280"/>
      <c r="AC63" s="280"/>
      <c r="AD63" s="280"/>
      <c r="AE63" s="280"/>
      <c r="AF63" s="280"/>
      <c r="AG63" s="285"/>
      <c r="AH63" s="285"/>
      <c r="AI63" s="409"/>
      <c r="AJ63" s="285"/>
      <c r="AK63" s="285"/>
      <c r="AL63" s="285"/>
      <c r="AM63" s="285"/>
      <c r="AN63" s="285"/>
      <c r="AO63" s="285"/>
      <c r="AP63" s="285"/>
      <c r="AQ63" s="285"/>
      <c r="AR63" s="285"/>
      <c r="AS63" s="285"/>
      <c r="AT63" s="332"/>
      <c r="AU63" s="332"/>
      <c r="AZ63" s="390"/>
      <c r="BA63" s="389"/>
      <c r="BB63" s="389"/>
    </row>
    <row r="64" spans="1:57">
      <c r="C64" s="280"/>
      <c r="D64" s="280"/>
      <c r="E64" s="280"/>
      <c r="H64" s="280"/>
      <c r="I64" s="280"/>
      <c r="J64" s="280"/>
      <c r="K64" s="280"/>
      <c r="L64" s="280"/>
      <c r="M64" s="280"/>
      <c r="N64" s="280"/>
      <c r="O64" s="280"/>
      <c r="P64" s="280"/>
      <c r="Q64" s="280"/>
      <c r="R64" s="280"/>
      <c r="S64" s="280"/>
      <c r="T64" s="280"/>
      <c r="U64" s="280"/>
      <c r="V64" s="280"/>
      <c r="W64" s="280"/>
      <c r="X64" s="280"/>
      <c r="Y64" s="280"/>
      <c r="Z64" s="280"/>
      <c r="AA64" s="280"/>
      <c r="AB64" s="280"/>
      <c r="AC64" s="280"/>
      <c r="AD64" s="280"/>
      <c r="AE64" s="280"/>
      <c r="AF64" s="280"/>
      <c r="AG64" s="285"/>
      <c r="AH64" s="285"/>
      <c r="AI64" s="285"/>
      <c r="AJ64" s="285"/>
      <c r="AK64" s="285"/>
      <c r="AL64" s="285"/>
      <c r="AM64" s="285"/>
      <c r="AN64" s="285"/>
      <c r="AO64" s="285"/>
      <c r="AP64" s="285"/>
      <c r="AQ64" s="285"/>
      <c r="AR64" s="285"/>
      <c r="AS64" s="285"/>
      <c r="AT64" s="332"/>
      <c r="AU64" s="332"/>
      <c r="AZ64" s="390">
        <v>211.11099999999999</v>
      </c>
      <c r="BA64" s="393">
        <f>AW10+AW15+AW34</f>
        <v>1248991.3799999999</v>
      </c>
      <c r="BB64" s="389"/>
    </row>
    <row r="65" spans="2:54" ht="12.75" thickBot="1">
      <c r="B65" s="474"/>
      <c r="C65" s="474"/>
      <c r="D65" s="410"/>
      <c r="E65" s="411"/>
      <c r="F65" s="412"/>
      <c r="G65" s="413"/>
      <c r="H65" s="414"/>
      <c r="I65" s="412"/>
      <c r="J65" s="415"/>
      <c r="K65" s="285"/>
      <c r="L65" s="285"/>
      <c r="M65" s="285"/>
      <c r="N65" s="416"/>
      <c r="O65" s="416"/>
      <c r="P65" s="416"/>
      <c r="Q65" s="416"/>
      <c r="R65" s="285"/>
      <c r="S65" s="285"/>
      <c r="T65" s="285"/>
      <c r="U65" s="285"/>
      <c r="V65" s="285"/>
      <c r="W65" s="285"/>
      <c r="X65" s="285"/>
      <c r="Y65" s="285"/>
      <c r="Z65" s="285"/>
      <c r="AA65" s="285"/>
      <c r="AB65" s="285"/>
      <c r="AC65" s="285"/>
      <c r="AD65" s="285"/>
      <c r="AE65" s="285"/>
      <c r="AF65" s="286"/>
      <c r="AG65" s="285"/>
      <c r="AH65" s="285"/>
      <c r="AI65" s="285"/>
      <c r="AJ65" s="285"/>
      <c r="AK65" s="285"/>
      <c r="AL65" s="285"/>
      <c r="AM65" s="285"/>
      <c r="AN65" s="285"/>
      <c r="AO65" s="285"/>
      <c r="AP65" s="285"/>
      <c r="AQ65" s="285"/>
      <c r="AR65" s="285"/>
      <c r="AS65" s="285"/>
      <c r="AT65" s="332"/>
      <c r="AU65" s="332"/>
      <c r="AZ65" s="390"/>
      <c r="BA65" s="389"/>
      <c r="BB65" s="389"/>
    </row>
    <row r="66" spans="2:54">
      <c r="B66" s="553" t="s">
        <v>120</v>
      </c>
      <c r="C66" s="554"/>
      <c r="D66" s="554"/>
      <c r="E66" s="554"/>
      <c r="F66" s="554"/>
      <c r="G66" s="554"/>
      <c r="H66" s="554"/>
      <c r="I66" s="554"/>
      <c r="J66" s="554"/>
      <c r="K66" s="554"/>
      <c r="L66" s="554"/>
      <c r="M66" s="554"/>
      <c r="N66" s="554"/>
      <c r="O66" s="554"/>
      <c r="P66" s="554"/>
      <c r="Q66" s="554"/>
      <c r="R66" s="554"/>
      <c r="S66" s="554"/>
      <c r="T66" s="554"/>
      <c r="U66" s="554"/>
      <c r="V66" s="554"/>
      <c r="W66" s="554"/>
      <c r="X66" s="554"/>
      <c r="Y66" s="554"/>
      <c r="Z66" s="554"/>
      <c r="AA66" s="554"/>
      <c r="AB66" s="554"/>
      <c r="AC66" s="554"/>
      <c r="AD66" s="554"/>
      <c r="AE66" s="554"/>
      <c r="AF66" s="554"/>
      <c r="AG66" s="285"/>
      <c r="AH66" s="285"/>
      <c r="AI66" s="285"/>
      <c r="AJ66" s="285"/>
      <c r="AK66" s="285"/>
      <c r="AL66" s="285"/>
      <c r="AM66" s="285"/>
      <c r="AN66" s="285"/>
      <c r="AO66" s="285"/>
      <c r="AP66" s="422"/>
      <c r="AQ66" s="422"/>
      <c r="AR66" s="422"/>
      <c r="AS66" s="422"/>
      <c r="AT66" s="423"/>
      <c r="AU66" s="424"/>
      <c r="AZ66" s="390"/>
      <c r="BA66" s="389"/>
      <c r="BB66" s="389"/>
    </row>
    <row r="67" spans="2:54">
      <c r="B67" s="555"/>
      <c r="C67" s="555"/>
      <c r="D67" s="555"/>
      <c r="E67" s="555"/>
      <c r="F67" s="555"/>
      <c r="G67" s="555"/>
      <c r="H67" s="555"/>
      <c r="I67" s="555"/>
      <c r="J67" s="555"/>
      <c r="K67" s="555"/>
      <c r="L67" s="555"/>
      <c r="M67" s="555"/>
      <c r="N67" s="555"/>
      <c r="O67" s="555"/>
      <c r="P67" s="555"/>
      <c r="Q67" s="555"/>
      <c r="R67" s="555"/>
      <c r="S67" s="555"/>
      <c r="T67" s="555"/>
      <c r="U67" s="555"/>
      <c r="V67" s="555"/>
      <c r="W67" s="555"/>
      <c r="X67" s="555"/>
      <c r="Y67" s="555"/>
      <c r="Z67" s="555"/>
      <c r="AA67" s="555"/>
      <c r="AB67" s="555"/>
      <c r="AC67" s="555"/>
      <c r="AD67" s="555"/>
      <c r="AE67" s="555"/>
      <c r="AF67" s="555"/>
      <c r="AG67" s="417"/>
      <c r="AH67" s="417"/>
      <c r="AI67" s="417"/>
      <c r="AJ67" s="417"/>
      <c r="AK67" s="417"/>
      <c r="AL67" s="417"/>
      <c r="AM67" s="417"/>
      <c r="AN67" s="417"/>
      <c r="AO67" s="417"/>
      <c r="AP67" s="424"/>
      <c r="AQ67" s="424"/>
      <c r="AR67" s="424"/>
      <c r="AS67" s="424"/>
      <c r="AT67" s="424"/>
      <c r="AU67" s="423"/>
      <c r="AZ67" s="390" t="s">
        <v>230</v>
      </c>
      <c r="BA67" s="393">
        <f>BA45+BA48+BA51+BA53+BA56+BA58+BA60+BA59</f>
        <v>506916.19</v>
      </c>
      <c r="BB67" s="389"/>
    </row>
    <row r="68" spans="2:54" ht="18" customHeight="1">
      <c r="B68" s="556" t="s">
        <v>235</v>
      </c>
      <c r="C68" s="556"/>
      <c r="D68" s="419" t="s">
        <v>236</v>
      </c>
      <c r="AP68" s="422"/>
      <c r="AQ68" s="422"/>
      <c r="AR68" s="422"/>
      <c r="AS68" s="422"/>
      <c r="AT68" s="423"/>
      <c r="AU68" s="423"/>
      <c r="AZ68" s="390" t="s">
        <v>232</v>
      </c>
      <c r="BA68" s="393">
        <f>AX52</f>
        <v>66782.7</v>
      </c>
      <c r="BB68" s="389"/>
    </row>
    <row r="69" spans="2:54">
      <c r="AP69" s="422"/>
      <c r="AQ69" s="422"/>
      <c r="AR69" s="422"/>
      <c r="AS69" s="422"/>
      <c r="AT69" s="423"/>
      <c r="AU69" s="423"/>
      <c r="AZ69" s="381"/>
    </row>
    <row r="70" spans="2:54">
      <c r="AP70" s="422"/>
      <c r="AQ70" s="422"/>
      <c r="AR70" s="422"/>
      <c r="AS70" s="422"/>
      <c r="AT70" s="423"/>
      <c r="AU70" s="423"/>
      <c r="AZ70" s="390" t="s">
        <v>241</v>
      </c>
      <c r="BA70" s="393">
        <f>BA67+BA68</f>
        <v>573698.89</v>
      </c>
      <c r="BB70" s="389"/>
    </row>
    <row r="71" spans="2:54">
      <c r="AP71" s="285"/>
      <c r="AQ71" s="285"/>
      <c r="AR71" s="285"/>
      <c r="AS71" s="285"/>
      <c r="AT71" s="332"/>
      <c r="AU71" s="332"/>
      <c r="AV71" s="418"/>
      <c r="AW71" s="418"/>
      <c r="AX71" s="418"/>
      <c r="AZ71" s="390"/>
      <c r="BA71" s="389"/>
      <c r="BB71" s="389"/>
    </row>
    <row r="72" spans="2:54">
      <c r="AP72" s="285"/>
      <c r="AQ72" s="285"/>
      <c r="AR72" s="285"/>
      <c r="AS72" s="285"/>
      <c r="AT72" s="332"/>
      <c r="AU72" s="332"/>
      <c r="AV72" s="418"/>
      <c r="AW72" s="418"/>
      <c r="AX72" s="418"/>
      <c r="AZ72" s="381"/>
    </row>
    <row r="73" spans="2:54">
      <c r="AP73" s="285"/>
      <c r="AQ73" s="285"/>
      <c r="AR73" s="285"/>
      <c r="AS73" s="285"/>
      <c r="AT73" s="332"/>
      <c r="AU73" s="332"/>
      <c r="AV73" s="418"/>
      <c r="AW73" s="418"/>
      <c r="AX73" s="418"/>
      <c r="AZ73" s="381"/>
    </row>
    <row r="74" spans="2:54">
      <c r="AP74" s="285"/>
      <c r="AQ74" s="285"/>
      <c r="AR74" s="285"/>
      <c r="AS74" s="285"/>
      <c r="AT74" s="332"/>
      <c r="AU74" s="332"/>
      <c r="AZ74" s="292"/>
    </row>
    <row r="75" spans="2:54">
      <c r="AZ75" s="292"/>
      <c r="BA75" s="292"/>
    </row>
    <row r="78" spans="2:54">
      <c r="AZ78" s="279">
        <v>111</v>
      </c>
      <c r="BA78" s="292">
        <f>BA64</f>
        <v>1248991.3799999999</v>
      </c>
    </row>
    <row r="79" spans="2:54">
      <c r="AZ79" s="279">
        <v>119</v>
      </c>
      <c r="BA79" s="292">
        <f>BA62</f>
        <v>377309.73</v>
      </c>
    </row>
    <row r="80" spans="2:54">
      <c r="AZ80" s="279">
        <v>244</v>
      </c>
      <c r="BA80" s="292">
        <f>BA67</f>
        <v>506916.19</v>
      </c>
    </row>
    <row r="81" spans="52:53">
      <c r="AZ81" s="279">
        <v>247</v>
      </c>
      <c r="BA81" s="292">
        <f>BA68</f>
        <v>66782.7</v>
      </c>
    </row>
    <row r="82" spans="52:53">
      <c r="BA82" s="292">
        <f>BA78+BA79+BA80+BA81</f>
        <v>2200000</v>
      </c>
    </row>
  </sheetData>
  <mergeCells count="53">
    <mergeCell ref="B50:D50"/>
    <mergeCell ref="A1:AT3"/>
    <mergeCell ref="AV5:AV7"/>
    <mergeCell ref="AW5:AW7"/>
    <mergeCell ref="AX5:AX7"/>
    <mergeCell ref="B14:D14"/>
    <mergeCell ref="B62:D62"/>
    <mergeCell ref="B66:AF67"/>
    <mergeCell ref="B68:C68"/>
    <mergeCell ref="AJ6:AJ7"/>
    <mergeCell ref="AB6:AB7"/>
    <mergeCell ref="O6:O7"/>
    <mergeCell ref="P6:P7"/>
    <mergeCell ref="Q6:Q7"/>
    <mergeCell ref="R6:R7"/>
    <mergeCell ref="U6:U7"/>
    <mergeCell ref="V6:V7"/>
    <mergeCell ref="I6:I7"/>
    <mergeCell ref="J6:J7"/>
    <mergeCell ref="K6:K7"/>
    <mergeCell ref="L6:L7"/>
    <mergeCell ref="AC6:AC7"/>
    <mergeCell ref="AD6:AD7"/>
    <mergeCell ref="W6:W7"/>
    <mergeCell ref="X6:X7"/>
    <mergeCell ref="Y6:Y7"/>
    <mergeCell ref="Z6:Z7"/>
    <mergeCell ref="AA6:AA7"/>
    <mergeCell ref="D6:D7"/>
    <mergeCell ref="E6:E7"/>
    <mergeCell ref="M6:M7"/>
    <mergeCell ref="N6:N7"/>
    <mergeCell ref="B33:D33"/>
    <mergeCell ref="AK6:AK7"/>
    <mergeCell ref="AL6:AL7"/>
    <mergeCell ref="AE6:AE7"/>
    <mergeCell ref="AG6:AG7"/>
    <mergeCell ref="AR5:AR7"/>
    <mergeCell ref="AU5:AU7"/>
    <mergeCell ref="B5:P5"/>
    <mergeCell ref="AF5:AF7"/>
    <mergeCell ref="AM5:AM7"/>
    <mergeCell ref="AN5:AN7"/>
    <mergeCell ref="AO5:AO7"/>
    <mergeCell ref="AP5:AP7"/>
    <mergeCell ref="AQ5:AQ7"/>
    <mergeCell ref="AH6:AH7"/>
    <mergeCell ref="AI6:AI7"/>
    <mergeCell ref="AT5:AT7"/>
    <mergeCell ref="A6:A7"/>
    <mergeCell ref="B6:B7"/>
    <mergeCell ref="C6:C7"/>
    <mergeCell ref="AS5:AS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Q12"/>
  <sheetViews>
    <sheetView tabSelected="1" view="pageBreakPreview" zoomScaleNormal="100" zoomScaleSheetLayoutView="100" workbookViewId="0">
      <selection activeCell="AM8" sqref="AM8"/>
    </sheetView>
  </sheetViews>
  <sheetFormatPr defaultRowHeight="12.75"/>
  <cols>
    <col min="1" max="1" width="15.5" style="136" customWidth="1"/>
    <col min="2" max="2" width="9.83203125" style="137" customWidth="1"/>
    <col min="3" max="3" width="27.5" style="155" customWidth="1"/>
    <col min="4" max="4" width="13.83203125" style="26" hidden="1" customWidth="1"/>
    <col min="5" max="5" width="0" style="136" hidden="1" customWidth="1"/>
    <col min="6" max="8" width="0" style="137" hidden="1" customWidth="1"/>
    <col min="9" max="9" width="0" style="26" hidden="1" customWidth="1"/>
    <col min="10" max="12" width="0" style="137" hidden="1" customWidth="1"/>
    <col min="13" max="16" width="0" style="26" hidden="1" customWidth="1"/>
    <col min="17" max="17" width="23" style="26" hidden="1" customWidth="1"/>
    <col min="18" max="18" width="17.1640625" style="26" hidden="1" customWidth="1"/>
    <col min="19" max="19" width="14.5" style="26" hidden="1" customWidth="1"/>
    <col min="20" max="20" width="8.6640625" style="26" customWidth="1"/>
    <col min="21" max="21" width="17.1640625" style="26" hidden="1" customWidth="1"/>
    <col min="22" max="22" width="14.6640625" style="26" hidden="1" customWidth="1"/>
    <col min="23" max="23" width="11.33203125" style="26" hidden="1" customWidth="1"/>
    <col min="24" max="24" width="13.6640625" style="26" hidden="1" customWidth="1"/>
    <col min="25" max="25" width="14.5" style="26" hidden="1" customWidth="1"/>
    <col min="26" max="26" width="16.5" style="26" hidden="1" customWidth="1"/>
    <col min="27" max="27" width="17.6640625" style="26" hidden="1" customWidth="1"/>
    <col min="28" max="28" width="11.6640625" style="26" hidden="1" customWidth="1"/>
    <col min="29" max="32" width="15" style="26" hidden="1" customWidth="1"/>
    <col min="33" max="34" width="15" style="26" customWidth="1"/>
    <col min="35" max="35" width="12.33203125" style="26" hidden="1" customWidth="1"/>
    <col min="36" max="36" width="12.83203125" style="26" hidden="1" customWidth="1"/>
    <col min="37" max="37" width="15.83203125" style="26" customWidth="1"/>
    <col min="38" max="69" width="9.33203125" style="26"/>
    <col min="70" max="16384" width="9.33203125" style="137"/>
  </cols>
  <sheetData>
    <row r="1" spans="1:69" ht="51.75" customHeight="1">
      <c r="A1" s="561" t="s">
        <v>116</v>
      </c>
      <c r="B1" s="561"/>
      <c r="C1" s="561"/>
      <c r="D1" s="562"/>
      <c r="E1" s="562"/>
      <c r="F1" s="562"/>
      <c r="G1" s="562"/>
      <c r="H1" s="562"/>
      <c r="I1" s="562"/>
      <c r="J1" s="562"/>
      <c r="K1" s="562"/>
      <c r="L1" s="562"/>
      <c r="M1" s="562"/>
      <c r="N1" s="562"/>
      <c r="O1" s="562"/>
      <c r="P1" s="562"/>
      <c r="Q1" s="562"/>
      <c r="R1" s="562"/>
      <c r="S1" s="562"/>
      <c r="T1" s="562"/>
      <c r="U1" s="562"/>
      <c r="V1" s="562"/>
      <c r="W1" s="562"/>
      <c r="X1" s="562"/>
      <c r="Y1" s="562"/>
      <c r="Z1" s="562"/>
      <c r="AA1" s="562"/>
      <c r="AB1" s="562"/>
      <c r="AC1" s="562"/>
      <c r="AD1" s="562"/>
      <c r="AE1" s="562"/>
      <c r="AF1" s="562"/>
      <c r="AG1" s="562"/>
      <c r="AH1" s="562"/>
    </row>
    <row r="2" spans="1:69">
      <c r="A2" s="563"/>
      <c r="B2" s="563"/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3"/>
      <c r="T2" s="563"/>
      <c r="U2" s="563"/>
      <c r="V2" s="563"/>
      <c r="W2" s="563"/>
      <c r="X2" s="563"/>
      <c r="Y2" s="563"/>
      <c r="Z2" s="563"/>
      <c r="AA2" s="563"/>
      <c r="AB2" s="563"/>
      <c r="AC2" s="563"/>
      <c r="AD2" s="563"/>
      <c r="AE2" s="563"/>
      <c r="AF2" s="563"/>
      <c r="AG2" s="563"/>
      <c r="AH2" s="563"/>
      <c r="AK2" s="236">
        <v>44635</v>
      </c>
    </row>
    <row r="3" spans="1:69">
      <c r="A3" s="453"/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3"/>
      <c r="Z3" s="453"/>
      <c r="AA3" s="453"/>
      <c r="AB3" s="453"/>
      <c r="AC3" s="453"/>
      <c r="AD3" s="453"/>
      <c r="AE3" s="453"/>
      <c r="AF3" s="453"/>
      <c r="AG3" s="453"/>
      <c r="AH3" s="453"/>
      <c r="AK3" s="236"/>
    </row>
    <row r="4" spans="1:69" s="139" customFormat="1" ht="91.5" customHeight="1">
      <c r="A4" s="90" t="s">
        <v>0</v>
      </c>
      <c r="B4" s="25" t="s">
        <v>93</v>
      </c>
      <c r="C4" s="25" t="s">
        <v>12</v>
      </c>
      <c r="D4" s="204" t="s">
        <v>2</v>
      </c>
      <c r="E4" s="204" t="s">
        <v>94</v>
      </c>
      <c r="F4" s="204" t="s">
        <v>2</v>
      </c>
      <c r="G4" s="204" t="s">
        <v>94</v>
      </c>
      <c r="H4" s="204" t="s">
        <v>2</v>
      </c>
      <c r="I4" s="204" t="s">
        <v>94</v>
      </c>
      <c r="J4" s="204" t="s">
        <v>2</v>
      </c>
      <c r="K4" s="204" t="s">
        <v>94</v>
      </c>
      <c r="L4" s="204" t="s">
        <v>2</v>
      </c>
      <c r="M4" s="204" t="s">
        <v>94</v>
      </c>
      <c r="N4" s="204" t="s">
        <v>2</v>
      </c>
      <c r="O4" s="204" t="s">
        <v>94</v>
      </c>
      <c r="P4" s="204" t="s">
        <v>10</v>
      </c>
      <c r="Q4" s="204" t="s">
        <v>95</v>
      </c>
      <c r="R4" s="204" t="s">
        <v>57</v>
      </c>
      <c r="S4" s="204" t="s">
        <v>48</v>
      </c>
      <c r="T4" s="204" t="s">
        <v>77</v>
      </c>
      <c r="U4" s="204" t="s">
        <v>59</v>
      </c>
      <c r="V4" s="204" t="s">
        <v>58</v>
      </c>
      <c r="W4" s="204" t="s">
        <v>48</v>
      </c>
      <c r="X4" s="204"/>
      <c r="Y4" s="204" t="s">
        <v>62</v>
      </c>
      <c r="Z4" s="204" t="s">
        <v>63</v>
      </c>
      <c r="AA4" s="204" t="s">
        <v>96</v>
      </c>
      <c r="AB4" s="204" t="s">
        <v>63</v>
      </c>
      <c r="AC4" s="204" t="s">
        <v>97</v>
      </c>
      <c r="AD4" s="204" t="s">
        <v>48</v>
      </c>
      <c r="AE4" s="204" t="s">
        <v>98</v>
      </c>
      <c r="AF4" s="204" t="s">
        <v>88</v>
      </c>
      <c r="AG4" s="247" t="s">
        <v>127</v>
      </c>
      <c r="AH4" s="452" t="s">
        <v>263</v>
      </c>
      <c r="AI4" s="239" t="s">
        <v>119</v>
      </c>
      <c r="AJ4" s="239" t="s">
        <v>119</v>
      </c>
      <c r="AK4" s="452" t="s">
        <v>264</v>
      </c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</row>
    <row r="5" spans="1:69" ht="25.5">
      <c r="A5" s="90" t="s">
        <v>70</v>
      </c>
      <c r="B5" s="25">
        <v>310</v>
      </c>
      <c r="C5" s="84" t="s">
        <v>99</v>
      </c>
      <c r="D5" s="51">
        <v>182000</v>
      </c>
      <c r="E5" s="51"/>
      <c r="F5" s="51">
        <v>182000</v>
      </c>
      <c r="G5" s="51"/>
      <c r="H5" s="51">
        <v>182000</v>
      </c>
      <c r="I5" s="51">
        <v>-86620</v>
      </c>
      <c r="J5" s="51" t="e">
        <f>J6+#REF!+#REF!+#REF!+#REF!</f>
        <v>#REF!</v>
      </c>
      <c r="K5" s="51" t="e">
        <f>#REF!+K6+#REF!+#REF!+#REF!+#REF!</f>
        <v>#REF!</v>
      </c>
      <c r="L5" s="51" t="e">
        <f>J5+K5</f>
        <v>#REF!</v>
      </c>
      <c r="M5" s="51"/>
      <c r="N5" s="51" t="e">
        <f>L5+M5</f>
        <v>#REF!</v>
      </c>
      <c r="O5" s="51"/>
      <c r="P5" s="51" t="e">
        <f>N5+O5</f>
        <v>#REF!</v>
      </c>
      <c r="Q5" s="51"/>
      <c r="R5" s="51">
        <f>R6</f>
        <v>76972</v>
      </c>
      <c r="S5" s="51"/>
      <c r="T5" s="90">
        <v>244</v>
      </c>
      <c r="U5" s="51" t="e">
        <f>U6+#REF!+#REF!</f>
        <v>#REF!</v>
      </c>
      <c r="V5" s="51">
        <f t="shared" ref="V5:V6" si="0">R5</f>
        <v>76972</v>
      </c>
      <c r="W5" s="51"/>
      <c r="X5" s="51"/>
      <c r="Y5" s="51" t="e">
        <f>U5+X5</f>
        <v>#REF!</v>
      </c>
      <c r="Z5" s="51"/>
      <c r="AA5" s="51" t="e">
        <f>U5+Z5</f>
        <v>#REF!</v>
      </c>
      <c r="AB5" s="51" t="e">
        <f>#REF!</f>
        <v>#REF!</v>
      </c>
      <c r="AC5" s="51">
        <v>0</v>
      </c>
      <c r="AD5" s="51">
        <v>0</v>
      </c>
      <c r="AE5" s="51">
        <f>AD5+AC5</f>
        <v>0</v>
      </c>
      <c r="AF5" s="51" t="e">
        <f>#REF!</f>
        <v>#REF!</v>
      </c>
      <c r="AG5" s="113">
        <f>AG6</f>
        <v>100000</v>
      </c>
      <c r="AH5" s="113">
        <f>AH6</f>
        <v>0</v>
      </c>
      <c r="AI5" s="113">
        <f>AI6</f>
        <v>32000</v>
      </c>
      <c r="AJ5" s="113">
        <f>AJ6</f>
        <v>32000</v>
      </c>
      <c r="AK5" s="113">
        <f>AG5+AH5</f>
        <v>100000</v>
      </c>
    </row>
    <row r="6" spans="1:69">
      <c r="A6" s="90"/>
      <c r="B6" s="207"/>
      <c r="C6" s="156" t="s">
        <v>258</v>
      </c>
      <c r="D6" s="91">
        <v>40000</v>
      </c>
      <c r="E6" s="91"/>
      <c r="F6" s="91">
        <v>40000</v>
      </c>
      <c r="G6" s="91"/>
      <c r="H6" s="91">
        <v>40000</v>
      </c>
      <c r="I6" s="91">
        <v>-40000</v>
      </c>
      <c r="J6" s="91">
        <v>40000</v>
      </c>
      <c r="K6" s="91">
        <v>-40000</v>
      </c>
      <c r="L6" s="91">
        <f t="shared" ref="L6" si="1">J6+K6</f>
        <v>0</v>
      </c>
      <c r="M6" s="91"/>
      <c r="N6" s="91">
        <f t="shared" ref="N6" si="2">L6+M6</f>
        <v>0</v>
      </c>
      <c r="O6" s="91"/>
      <c r="P6" s="91">
        <f t="shared" ref="P6" si="3">N6+O6</f>
        <v>0</v>
      </c>
      <c r="Q6" s="91"/>
      <c r="R6" s="91">
        <v>76972</v>
      </c>
      <c r="S6" s="91"/>
      <c r="T6" s="91"/>
      <c r="U6" s="91">
        <v>30066</v>
      </c>
      <c r="V6" s="91">
        <f t="shared" si="0"/>
        <v>76972</v>
      </c>
      <c r="W6" s="91"/>
      <c r="X6" s="91"/>
      <c r="Y6" s="91">
        <f t="shared" ref="Y6" si="4">U6+X6</f>
        <v>30066</v>
      </c>
      <c r="Z6" s="91"/>
      <c r="AA6" s="91">
        <f t="shared" ref="AA6" si="5">U6+Z6</f>
        <v>30066</v>
      </c>
      <c r="AB6" s="91"/>
      <c r="AC6" s="91">
        <v>0</v>
      </c>
      <c r="AD6" s="91">
        <v>0</v>
      </c>
      <c r="AE6" s="91">
        <f t="shared" ref="AE6" si="6">AD6+AC6</f>
        <v>0</v>
      </c>
      <c r="AF6" s="91">
        <v>60000</v>
      </c>
      <c r="AG6" s="91">
        <v>100000</v>
      </c>
      <c r="AH6" s="91">
        <v>0</v>
      </c>
      <c r="AI6" s="91">
        <v>32000</v>
      </c>
      <c r="AJ6" s="91">
        <v>32000</v>
      </c>
      <c r="AK6" s="128">
        <f>AG6+AH6</f>
        <v>100000</v>
      </c>
    </row>
    <row r="7" spans="1:69" ht="18" customHeight="1">
      <c r="A7" s="159" t="s">
        <v>100</v>
      </c>
      <c r="B7" s="202"/>
      <c r="C7" s="20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 t="e">
        <f>AC5+#REF!+#REF!+#REF!</f>
        <v>#REF!</v>
      </c>
      <c r="AD7" s="132" t="e">
        <f>AD5+#REF!+#REF!+#REF!</f>
        <v>#REF!</v>
      </c>
      <c r="AE7" s="132" t="e">
        <f>AE5+#REF!+#REF!+#REF!</f>
        <v>#REF!</v>
      </c>
      <c r="AF7" s="132" t="e">
        <f>AF5+#REF!+#REF!+#REF!</f>
        <v>#REF!</v>
      </c>
      <c r="AG7" s="132">
        <f>AG5</f>
        <v>100000</v>
      </c>
      <c r="AH7" s="132">
        <f t="shared" ref="AH7:AK7" si="7">AH5</f>
        <v>0</v>
      </c>
      <c r="AI7" s="132">
        <f t="shared" si="7"/>
        <v>32000</v>
      </c>
      <c r="AJ7" s="132">
        <f t="shared" si="7"/>
        <v>32000</v>
      </c>
      <c r="AK7" s="132">
        <f t="shared" si="7"/>
        <v>100000</v>
      </c>
    </row>
    <row r="8" spans="1:69" ht="27" customHeight="1">
      <c r="A8" s="559" t="s">
        <v>120</v>
      </c>
      <c r="B8" s="560"/>
      <c r="C8" s="560"/>
      <c r="D8" s="560"/>
      <c r="E8" s="560"/>
      <c r="F8" s="560"/>
      <c r="G8" s="560"/>
      <c r="H8" s="560"/>
      <c r="I8" s="560"/>
      <c r="J8" s="560"/>
      <c r="K8" s="560"/>
      <c r="L8" s="560"/>
      <c r="M8" s="560"/>
      <c r="N8" s="560"/>
      <c r="O8" s="560"/>
      <c r="P8" s="560"/>
      <c r="Q8" s="560"/>
      <c r="R8" s="560"/>
      <c r="S8" s="560"/>
      <c r="T8" s="560"/>
    </row>
    <row r="9" spans="1:69">
      <c r="C9" s="86"/>
    </row>
    <row r="10" spans="1:69" ht="27" customHeight="1">
      <c r="A10" s="559" t="s">
        <v>244</v>
      </c>
      <c r="B10" s="560"/>
      <c r="C10" s="560"/>
      <c r="D10" s="560"/>
      <c r="E10" s="560"/>
      <c r="F10" s="560"/>
      <c r="G10" s="560"/>
      <c r="H10" s="560"/>
      <c r="I10" s="560"/>
      <c r="J10" s="560"/>
      <c r="K10" s="560"/>
      <c r="L10" s="560"/>
      <c r="M10" s="560"/>
      <c r="N10" s="560"/>
      <c r="O10" s="560"/>
      <c r="P10" s="560"/>
      <c r="Q10" s="560"/>
      <c r="R10" s="560"/>
      <c r="S10" s="560"/>
      <c r="T10" s="560"/>
    </row>
    <row r="11" spans="1:69">
      <c r="C11" s="137"/>
    </row>
    <row r="12" spans="1:69">
      <c r="C12" s="137"/>
    </row>
  </sheetData>
  <mergeCells count="3">
    <mergeCell ref="A8:T8"/>
    <mergeCell ref="A1:AH2"/>
    <mergeCell ref="A10:T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МУНИЦ ЗАДАНИЕ</vt:lpstr>
      <vt:lpstr>ДЛЯ ФИН УПР</vt:lpstr>
      <vt:lpstr>ПЛАТНЫЕ</vt:lpstr>
      <vt:lpstr>ИНЫЕ</vt:lpstr>
      <vt:lpstr>ИНЫЕ!Область_печати</vt:lpstr>
      <vt:lpstr>'МУНИЦ ЗАДАНИЕ'!Область_печати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kom111</dc:creator>
  <cp:lastModifiedBy>b2204</cp:lastModifiedBy>
  <cp:lastPrinted>2022-03-15T04:52:00Z</cp:lastPrinted>
  <dcterms:created xsi:type="dcterms:W3CDTF">2011-07-21T06:37:28Z</dcterms:created>
  <dcterms:modified xsi:type="dcterms:W3CDTF">2022-03-15T04:52:03Z</dcterms:modified>
</cp:coreProperties>
</file>